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'1.0' encoding='UTF-8' standalone='yes'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/>
  </mc:AlternateContent>
  <xr:revisionPtr revIDLastSave="0" documentId="13_ncr:1_{74B997E5-B7F0-C045-A15E-2B6AAB2EF2ED}" xr6:coauthVersionLast="47" xr6:coauthVersionMax="47" xr10:uidLastSave="{00000000-0000-0000-0000-000000000000}"/>
  <bookViews>
    <workbookView xWindow="0" yWindow="660" windowWidth="30240" windowHeight="17180" activeTab="3" xr2:uid="{00000000-000D-0000-FFFF-FFFF00000000}"/>
  </bookViews>
  <sheets>
    <sheet name="Read Me" sheetId="1" r:id="rId1"/>
    <sheet name="Assumptions" sheetId="2" r:id="rId2"/>
    <sheet name="Outputs &gt;&gt;" sheetId="13" r:id="rId3"/>
    <sheet name="Exec Sum" sheetId="14" r:id="rId4"/>
    <sheet name="Statements &gt;&gt;" sheetId="9" r:id="rId5"/>
    <sheet name="IS" sheetId="10" r:id="rId6"/>
    <sheet name="BS" sheetId="11" r:id="rId7"/>
    <sheet name="CF" sheetId="12" r:id="rId8"/>
    <sheet name="Builds &gt;&gt;" sheetId="15" r:id="rId9"/>
    <sheet name="Revenue" sheetId="3" r:id="rId10"/>
    <sheet name="OpEx" sheetId="5" r:id="rId11"/>
    <sheet name="HC" sheetId="4" r:id="rId12"/>
    <sheet name="WC" sheetId="6" r:id="rId13"/>
    <sheet name="FA &amp; D&amp;A" sheetId="7" r:id="rId14"/>
    <sheet name="Fin, Tax &amp; Equity" sheetId="8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B19" i="1" s="1"/>
  <c r="B20" i="1" s="1"/>
  <c r="B21" i="1" s="1"/>
  <c r="B22" i="1" s="1"/>
  <c r="N22" i="14"/>
  <c r="M22" i="14"/>
  <c r="L22" i="14"/>
  <c r="K22" i="14"/>
  <c r="J22" i="14"/>
  <c r="I22" i="14"/>
  <c r="H22" i="14"/>
  <c r="G22" i="14"/>
  <c r="F22" i="14"/>
  <c r="E22" i="14"/>
  <c r="D22" i="14"/>
  <c r="C22" i="14"/>
  <c r="C5" i="14"/>
  <c r="N25" i="12"/>
  <c r="M25" i="12"/>
  <c r="L25" i="12"/>
  <c r="K25" i="12"/>
  <c r="J25" i="12"/>
  <c r="I25" i="12"/>
  <c r="H25" i="12"/>
  <c r="G25" i="12"/>
  <c r="F25" i="12"/>
  <c r="E25" i="12"/>
  <c r="D25" i="12"/>
  <c r="C25" i="12"/>
  <c r="F61" i="2"/>
  <c r="C30" i="8" s="1"/>
  <c r="F60" i="2"/>
  <c r="C24" i="8" s="1"/>
  <c r="F59" i="2"/>
  <c r="C9" i="8" s="1"/>
  <c r="F58" i="2"/>
  <c r="C56" i="3" s="1"/>
  <c r="C33" i="6" s="1"/>
  <c r="F57" i="2"/>
  <c r="F56" i="2"/>
  <c r="F55" i="2"/>
  <c r="C15" i="7" s="1"/>
  <c r="F54" i="2"/>
  <c r="F53" i="2"/>
  <c r="F52" i="2"/>
  <c r="F51" i="2"/>
  <c r="C33" i="12" s="1"/>
  <c r="F50" i="2"/>
  <c r="F49" i="2"/>
  <c r="F48" i="2"/>
  <c r="F47" i="2"/>
  <c r="J13" i="8" s="1"/>
  <c r="F46" i="2"/>
  <c r="F45" i="2"/>
  <c r="F44" i="2"/>
  <c r="F43" i="2"/>
  <c r="F42" i="2"/>
  <c r="L28" i="6" s="1"/>
  <c r="F41" i="2"/>
  <c r="F40" i="2"/>
  <c r="E10" i="6" s="1"/>
  <c r="F39" i="2"/>
  <c r="F38" i="2"/>
  <c r="N30" i="5" s="1"/>
  <c r="F37" i="2"/>
  <c r="C29" i="5" s="1"/>
  <c r="F36" i="2"/>
  <c r="J28" i="5" s="1"/>
  <c r="F35" i="2"/>
  <c r="F34" i="2"/>
  <c r="F33" i="2"/>
  <c r="N29" i="4" s="1"/>
  <c r="F32" i="2"/>
  <c r="G21" i="4" s="1"/>
  <c r="F31" i="2"/>
  <c r="N13" i="4" s="1"/>
  <c r="F30" i="2"/>
  <c r="F29" i="2"/>
  <c r="L42" i="4" s="1"/>
  <c r="F28" i="2"/>
  <c r="C41" i="4" s="1"/>
  <c r="F27" i="2"/>
  <c r="N34" i="4" s="1"/>
  <c r="F26" i="2"/>
  <c r="C33" i="4" s="1"/>
  <c r="F25" i="2"/>
  <c r="G26" i="4" s="1"/>
  <c r="F24" i="2"/>
  <c r="C25" i="4" s="1"/>
  <c r="F23" i="2"/>
  <c r="K18" i="4" s="1"/>
  <c r="F22" i="2"/>
  <c r="C17" i="4" s="1"/>
  <c r="F21" i="2"/>
  <c r="F20" i="2"/>
  <c r="M10" i="5" s="1"/>
  <c r="F19" i="2"/>
  <c r="N46" i="3" s="1"/>
  <c r="F18" i="2"/>
  <c r="M26" i="3" s="1"/>
  <c r="F17" i="2"/>
  <c r="E25" i="3" s="1"/>
  <c r="F16" i="2"/>
  <c r="N24" i="3" s="1"/>
  <c r="F15" i="2"/>
  <c r="D21" i="3" s="1"/>
  <c r="F14" i="2"/>
  <c r="D14" i="3" s="1"/>
  <c r="F13" i="2"/>
  <c r="C12" i="3" s="1"/>
  <c r="F12" i="2"/>
  <c r="J10" i="3" s="1"/>
  <c r="F11" i="2"/>
  <c r="N10" i="4" s="1"/>
  <c r="F10" i="2"/>
  <c r="F9" i="2"/>
  <c r="F8" i="2"/>
  <c r="C17" i="3" s="1"/>
  <c r="C9" i="1"/>
  <c r="C14" i="3" l="1"/>
  <c r="H41" i="3" s="1"/>
  <c r="K14" i="3"/>
  <c r="L14" i="3"/>
  <c r="E12" i="3"/>
  <c r="G21" i="3"/>
  <c r="N65" i="4"/>
  <c r="I24" i="3"/>
  <c r="C35" i="3"/>
  <c r="G41" i="3"/>
  <c r="G28" i="6"/>
  <c r="J24" i="3"/>
  <c r="J25" i="3"/>
  <c r="L25" i="3"/>
  <c r="G53" i="4"/>
  <c r="E41" i="3"/>
  <c r="D10" i="3"/>
  <c r="E13" i="4"/>
  <c r="J14" i="3"/>
  <c r="E42" i="3"/>
  <c r="F12" i="3"/>
  <c r="K24" i="3"/>
  <c r="M46" i="3"/>
  <c r="E53" i="4"/>
  <c r="C43" i="4"/>
  <c r="G14" i="3"/>
  <c r="L24" i="3"/>
  <c r="I14" i="3"/>
  <c r="C25" i="3"/>
  <c r="K25" i="3"/>
  <c r="C13" i="4"/>
  <c r="E21" i="3"/>
  <c r="M25" i="3"/>
  <c r="F13" i="4"/>
  <c r="C10" i="4"/>
  <c r="I54" i="4" s="1"/>
  <c r="C10" i="3"/>
  <c r="F21" i="3"/>
  <c r="N25" i="3"/>
  <c r="H13" i="4"/>
  <c r="L13" i="4"/>
  <c r="C19" i="4"/>
  <c r="F10" i="3"/>
  <c r="H21" i="3"/>
  <c r="D35" i="3"/>
  <c r="G18" i="4"/>
  <c r="K10" i="3"/>
  <c r="D24" i="3"/>
  <c r="F38" i="3"/>
  <c r="I42" i="4"/>
  <c r="D12" i="3"/>
  <c r="H24" i="3"/>
  <c r="D39" i="3"/>
  <c r="D53" i="4"/>
  <c r="E21" i="4"/>
  <c r="N42" i="4"/>
  <c r="G10" i="6"/>
  <c r="E10" i="3"/>
  <c r="H14" i="3"/>
  <c r="G24" i="3"/>
  <c r="C26" i="3"/>
  <c r="D36" i="3"/>
  <c r="G39" i="3"/>
  <c r="D42" i="3"/>
  <c r="D13" i="4"/>
  <c r="M21" i="4"/>
  <c r="F53" i="4"/>
  <c r="O22" i="14"/>
  <c r="E39" i="3"/>
  <c r="G35" i="3"/>
  <c r="D26" i="3"/>
  <c r="E36" i="3"/>
  <c r="H39" i="3"/>
  <c r="G10" i="3"/>
  <c r="E26" i="3"/>
  <c r="F36" i="3"/>
  <c r="J39" i="3"/>
  <c r="F42" i="3"/>
  <c r="D29" i="4"/>
  <c r="I28" i="5"/>
  <c r="F29" i="4"/>
  <c r="C42" i="3"/>
  <c r="G26" i="3"/>
  <c r="H36" i="3"/>
  <c r="C40" i="3"/>
  <c r="I42" i="3"/>
  <c r="L29" i="4"/>
  <c r="N29" i="5"/>
  <c r="E35" i="3"/>
  <c r="J41" i="3"/>
  <c r="K21" i="4"/>
  <c r="K42" i="3"/>
  <c r="M13" i="4"/>
  <c r="E30" i="5"/>
  <c r="M10" i="3"/>
  <c r="N14" i="3"/>
  <c r="M24" i="3"/>
  <c r="K26" i="3"/>
  <c r="H37" i="3"/>
  <c r="I40" i="3"/>
  <c r="M42" i="3"/>
  <c r="G30" i="5"/>
  <c r="F64" i="2"/>
  <c r="L10" i="3"/>
  <c r="M14" i="3"/>
  <c r="G37" i="3"/>
  <c r="H40" i="3"/>
  <c r="I53" i="4"/>
  <c r="N10" i="3"/>
  <c r="C32" i="3"/>
  <c r="I37" i="3"/>
  <c r="J40" i="3"/>
  <c r="N42" i="3"/>
  <c r="I30" i="5"/>
  <c r="F39" i="3"/>
  <c r="L21" i="4"/>
  <c r="I10" i="3"/>
  <c r="F26" i="3"/>
  <c r="G36" i="3"/>
  <c r="K39" i="3"/>
  <c r="G42" i="3"/>
  <c r="H26" i="3"/>
  <c r="C21" i="3"/>
  <c r="C19" i="3" s="1"/>
  <c r="D25" i="3"/>
  <c r="C33" i="3"/>
  <c r="C38" i="3"/>
  <c r="L40" i="3"/>
  <c r="E46" i="3"/>
  <c r="I18" i="4"/>
  <c r="H42" i="4"/>
  <c r="L30" i="5"/>
  <c r="E33" i="3"/>
  <c r="D38" i="3"/>
  <c r="C41" i="3"/>
  <c r="I46" i="3"/>
  <c r="M30" i="5"/>
  <c r="C21" i="4"/>
  <c r="M42" i="4"/>
  <c r="N20" i="8"/>
  <c r="G20" i="8"/>
  <c r="F20" i="8"/>
  <c r="E20" i="8"/>
  <c r="D20" i="8"/>
  <c r="C20" i="8"/>
  <c r="M20" i="8"/>
  <c r="L20" i="8"/>
  <c r="K20" i="8"/>
  <c r="I20" i="8"/>
  <c r="J20" i="8"/>
  <c r="H20" i="8"/>
  <c r="N13" i="5"/>
  <c r="G13" i="5"/>
  <c r="F13" i="5"/>
  <c r="L13" i="5"/>
  <c r="K13" i="5"/>
  <c r="M13" i="5"/>
  <c r="J13" i="5"/>
  <c r="H13" i="5"/>
  <c r="C13" i="5"/>
  <c r="I13" i="5"/>
  <c r="E13" i="5"/>
  <c r="D13" i="5"/>
  <c r="C45" i="4"/>
  <c r="H45" i="4"/>
  <c r="K45" i="4"/>
  <c r="J45" i="4"/>
  <c r="E45" i="4"/>
  <c r="N45" i="4"/>
  <c r="L45" i="4"/>
  <c r="M45" i="4"/>
  <c r="I45" i="4"/>
  <c r="G45" i="4"/>
  <c r="F45" i="4"/>
  <c r="D45" i="4"/>
  <c r="G25" i="8"/>
  <c r="G27" i="12" s="1"/>
  <c r="K25" i="8"/>
  <c r="K27" i="12" s="1"/>
  <c r="I25" i="8"/>
  <c r="I27" i="12" s="1"/>
  <c r="H25" i="8"/>
  <c r="H27" i="12" s="1"/>
  <c r="F25" i="8"/>
  <c r="F27" i="12" s="1"/>
  <c r="E25" i="8"/>
  <c r="E27" i="12" s="1"/>
  <c r="D25" i="8"/>
  <c r="D27" i="12" s="1"/>
  <c r="C25" i="8"/>
  <c r="C27" i="12" s="1"/>
  <c r="N25" i="8"/>
  <c r="N27" i="12" s="1"/>
  <c r="L25" i="8"/>
  <c r="L27" i="12" s="1"/>
  <c r="M25" i="8"/>
  <c r="M27" i="12" s="1"/>
  <c r="J25" i="8"/>
  <c r="J27" i="12" s="1"/>
  <c r="I10" i="5"/>
  <c r="H10" i="5"/>
  <c r="N10" i="5"/>
  <c r="J10" i="5"/>
  <c r="G10" i="5"/>
  <c r="K10" i="5"/>
  <c r="D10" i="5"/>
  <c r="C10" i="5"/>
  <c r="L10" i="5"/>
  <c r="F10" i="5"/>
  <c r="E10" i="5"/>
  <c r="E37" i="4"/>
  <c r="G37" i="4"/>
  <c r="F37" i="4"/>
  <c r="H37" i="4"/>
  <c r="N37" i="4"/>
  <c r="I37" i="4"/>
  <c r="M37" i="4"/>
  <c r="L37" i="4"/>
  <c r="K37" i="4"/>
  <c r="J37" i="4"/>
  <c r="D37" i="4"/>
  <c r="C37" i="4"/>
  <c r="M54" i="4"/>
  <c r="L54" i="4"/>
  <c r="F54" i="4"/>
  <c r="C35" i="4"/>
  <c r="D28" i="5"/>
  <c r="M28" i="5"/>
  <c r="L28" i="5"/>
  <c r="E28" i="5"/>
  <c r="C28" i="5"/>
  <c r="G28" i="5"/>
  <c r="K28" i="5"/>
  <c r="C32" i="8"/>
  <c r="C28" i="12" s="1"/>
  <c r="K32" i="8"/>
  <c r="K28" i="12" s="1"/>
  <c r="I32" i="8"/>
  <c r="I28" i="12" s="1"/>
  <c r="F32" i="8"/>
  <c r="F28" i="12" s="1"/>
  <c r="E32" i="8"/>
  <c r="E28" i="12" s="1"/>
  <c r="D32" i="8"/>
  <c r="D28" i="12" s="1"/>
  <c r="N32" i="8"/>
  <c r="N28" i="12" s="1"/>
  <c r="M32" i="8"/>
  <c r="M28" i="12" s="1"/>
  <c r="L32" i="8"/>
  <c r="L28" i="12" s="1"/>
  <c r="H32" i="8"/>
  <c r="H28" i="12" s="1"/>
  <c r="J32" i="8"/>
  <c r="J28" i="12" s="1"/>
  <c r="G32" i="8"/>
  <c r="G28" i="12" s="1"/>
  <c r="J46" i="3"/>
  <c r="D10" i="4"/>
  <c r="J18" i="4"/>
  <c r="H29" i="4"/>
  <c r="J42" i="4"/>
  <c r="C53" i="4"/>
  <c r="N28" i="5"/>
  <c r="F10" i="4"/>
  <c r="J29" i="4"/>
  <c r="C18" i="4"/>
  <c r="F18" i="4"/>
  <c r="E18" i="4"/>
  <c r="H18" i="4"/>
  <c r="D18" i="4"/>
  <c r="F29" i="5"/>
  <c r="H29" i="5"/>
  <c r="G29" i="5"/>
  <c r="K29" i="5"/>
  <c r="J29" i="5"/>
  <c r="M29" i="5"/>
  <c r="L29" i="5"/>
  <c r="I29" i="5"/>
  <c r="D29" i="5"/>
  <c r="K46" i="3"/>
  <c r="L46" i="3"/>
  <c r="G10" i="4"/>
  <c r="L18" i="4"/>
  <c r="K29" i="4"/>
  <c r="E29" i="5"/>
  <c r="I10" i="4"/>
  <c r="N18" i="4"/>
  <c r="D26" i="4"/>
  <c r="M29" i="4"/>
  <c r="N12" i="3"/>
  <c r="L12" i="3"/>
  <c r="F26" i="4"/>
  <c r="M34" i="4"/>
  <c r="L34" i="4"/>
  <c r="K34" i="4"/>
  <c r="G34" i="4"/>
  <c r="D34" i="4"/>
  <c r="J10" i="4"/>
  <c r="D28" i="6"/>
  <c r="C28" i="6"/>
  <c r="K28" i="6"/>
  <c r="J28" i="6"/>
  <c r="I28" i="6"/>
  <c r="H28" i="6"/>
  <c r="F28" i="6"/>
  <c r="E28" i="6"/>
  <c r="N28" i="6"/>
  <c r="M28" i="6"/>
  <c r="H12" i="3"/>
  <c r="I21" i="3"/>
  <c r="F35" i="3"/>
  <c r="E38" i="3"/>
  <c r="L10" i="4"/>
  <c r="C34" i="4"/>
  <c r="I26" i="4"/>
  <c r="H26" i="4"/>
  <c r="J26" i="4"/>
  <c r="E26" i="4"/>
  <c r="C26" i="4"/>
  <c r="J22" i="6"/>
  <c r="F22" i="6"/>
  <c r="E22" i="6"/>
  <c r="D22" i="6"/>
  <c r="C22" i="6"/>
  <c r="N22" i="6"/>
  <c r="M22" i="6"/>
  <c r="L22" i="6"/>
  <c r="K22" i="6"/>
  <c r="H22" i="6"/>
  <c r="I22" i="6"/>
  <c r="G22" i="6"/>
  <c r="K42" i="4"/>
  <c r="F42" i="4"/>
  <c r="C42" i="4"/>
  <c r="I12" i="3"/>
  <c r="J21" i="3"/>
  <c r="K26" i="4"/>
  <c r="E34" i="4"/>
  <c r="F24" i="3"/>
  <c r="E24" i="3"/>
  <c r="E27" i="3" s="1"/>
  <c r="C24" i="3"/>
  <c r="C27" i="3" s="1"/>
  <c r="G10" i="7"/>
  <c r="G21" i="12" s="1"/>
  <c r="G22" i="12" s="1"/>
  <c r="D10" i="7"/>
  <c r="D21" i="12" s="1"/>
  <c r="D22" i="12" s="1"/>
  <c r="L10" i="7"/>
  <c r="L21" i="12" s="1"/>
  <c r="L22" i="12" s="1"/>
  <c r="K10" i="7"/>
  <c r="K21" i="12" s="1"/>
  <c r="K22" i="12" s="1"/>
  <c r="J10" i="7"/>
  <c r="J21" i="12" s="1"/>
  <c r="J22" i="12" s="1"/>
  <c r="I10" i="7"/>
  <c r="I21" i="12" s="1"/>
  <c r="I22" i="12" s="1"/>
  <c r="H10" i="7"/>
  <c r="H21" i="12" s="1"/>
  <c r="H22" i="12" s="1"/>
  <c r="F10" i="7"/>
  <c r="F21" i="12" s="1"/>
  <c r="F22" i="12" s="1"/>
  <c r="C10" i="7"/>
  <c r="C21" i="12" s="1"/>
  <c r="C22" i="12" s="1"/>
  <c r="M10" i="7"/>
  <c r="M21" i="12" s="1"/>
  <c r="M22" i="12" s="1"/>
  <c r="N10" i="7"/>
  <c r="N21" i="12" s="1"/>
  <c r="N22" i="12" s="1"/>
  <c r="E10" i="7"/>
  <c r="E21" i="12" s="1"/>
  <c r="E22" i="12" s="1"/>
  <c r="J12" i="3"/>
  <c r="M41" i="3"/>
  <c r="K40" i="3"/>
  <c r="I39" i="3"/>
  <c r="G38" i="3"/>
  <c r="L42" i="3"/>
  <c r="I41" i="3"/>
  <c r="F40" i="3"/>
  <c r="C39" i="3"/>
  <c r="F34" i="3"/>
  <c r="D33" i="3"/>
  <c r="J42" i="3"/>
  <c r="F41" i="3"/>
  <c r="J38" i="3"/>
  <c r="F37" i="3"/>
  <c r="C36" i="3"/>
  <c r="C31" i="3"/>
  <c r="H42" i="3"/>
  <c r="D41" i="3"/>
  <c r="H38" i="3"/>
  <c r="D37" i="3"/>
  <c r="D32" i="3"/>
  <c r="K21" i="3"/>
  <c r="C34" i="3"/>
  <c r="I38" i="3"/>
  <c r="D40" i="3"/>
  <c r="K41" i="3"/>
  <c r="C11" i="8"/>
  <c r="C26" i="12" s="1"/>
  <c r="K12" i="3"/>
  <c r="E14" i="3"/>
  <c r="L21" i="3"/>
  <c r="D34" i="3"/>
  <c r="C37" i="3"/>
  <c r="E40" i="3"/>
  <c r="L41" i="3"/>
  <c r="C27" i="4"/>
  <c r="C28" i="4" s="1"/>
  <c r="D25" i="4" s="1"/>
  <c r="M26" i="4"/>
  <c r="H34" i="4"/>
  <c r="D42" i="4"/>
  <c r="E10" i="4"/>
  <c r="M10" i="4"/>
  <c r="K10" i="4"/>
  <c r="J31" i="5"/>
  <c r="G31" i="5"/>
  <c r="F31" i="5"/>
  <c r="N31" i="5"/>
  <c r="M31" i="5"/>
  <c r="H31" i="5"/>
  <c r="E31" i="5"/>
  <c r="L31" i="5"/>
  <c r="K31" i="5"/>
  <c r="I31" i="5"/>
  <c r="D31" i="5"/>
  <c r="H10" i="4"/>
  <c r="M18" i="4"/>
  <c r="I16" i="6"/>
  <c r="H16" i="6"/>
  <c r="G16" i="6"/>
  <c r="F16" i="6"/>
  <c r="N16" i="6"/>
  <c r="M16" i="6"/>
  <c r="K16" i="6"/>
  <c r="L16" i="6"/>
  <c r="E16" i="6"/>
  <c r="J16" i="6"/>
  <c r="D16" i="6"/>
  <c r="C16" i="6"/>
  <c r="G12" i="3"/>
  <c r="L26" i="4"/>
  <c r="F34" i="4"/>
  <c r="H25" i="3"/>
  <c r="H27" i="3" s="1"/>
  <c r="I25" i="3"/>
  <c r="F25" i="3"/>
  <c r="K13" i="4"/>
  <c r="J13" i="4"/>
  <c r="I13" i="4"/>
  <c r="G13" i="4"/>
  <c r="M16" i="7"/>
  <c r="N16" i="7"/>
  <c r="F16" i="7"/>
  <c r="J16" i="7"/>
  <c r="I16" i="7"/>
  <c r="H16" i="7"/>
  <c r="G16" i="7"/>
  <c r="E16" i="7"/>
  <c r="C16" i="7"/>
  <c r="K16" i="7"/>
  <c r="L16" i="7"/>
  <c r="D16" i="7"/>
  <c r="J26" i="3"/>
  <c r="L26" i="3"/>
  <c r="I26" i="3"/>
  <c r="I21" i="4"/>
  <c r="N21" i="4"/>
  <c r="F21" i="4"/>
  <c r="D21" i="4"/>
  <c r="C26" i="8"/>
  <c r="M12" i="3"/>
  <c r="F14" i="3"/>
  <c r="M21" i="3"/>
  <c r="G25" i="3"/>
  <c r="N26" i="3"/>
  <c r="E34" i="3"/>
  <c r="E37" i="3"/>
  <c r="G40" i="3"/>
  <c r="H21" i="4"/>
  <c r="N26" i="4"/>
  <c r="I34" i="4"/>
  <c r="E42" i="4"/>
  <c r="F28" i="5"/>
  <c r="C31" i="5"/>
  <c r="G46" i="3"/>
  <c r="F46" i="3"/>
  <c r="H46" i="3"/>
  <c r="D46" i="3"/>
  <c r="G29" i="4"/>
  <c r="C29" i="4"/>
  <c r="I29" i="4"/>
  <c r="E29" i="4"/>
  <c r="E13" i="8"/>
  <c r="N13" i="8"/>
  <c r="G13" i="8"/>
  <c r="I13" i="8"/>
  <c r="H13" i="8"/>
  <c r="F13" i="8"/>
  <c r="D13" i="8"/>
  <c r="C13" i="8"/>
  <c r="M13" i="8"/>
  <c r="K13" i="8"/>
  <c r="L13" i="8"/>
  <c r="N21" i="3"/>
  <c r="C46" i="3"/>
  <c r="J21" i="4"/>
  <c r="J34" i="4"/>
  <c r="G42" i="4"/>
  <c r="H28" i="5"/>
  <c r="K53" i="4"/>
  <c r="C9" i="4"/>
  <c r="J53" i="4"/>
  <c r="N53" i="4"/>
  <c r="M53" i="4"/>
  <c r="H30" i="5"/>
  <c r="D30" i="5"/>
  <c r="C30" i="5"/>
  <c r="K30" i="5"/>
  <c r="J30" i="5"/>
  <c r="H10" i="3"/>
  <c r="H53" i="4"/>
  <c r="H10" i="6"/>
  <c r="L10" i="6"/>
  <c r="K10" i="6"/>
  <c r="J10" i="6"/>
  <c r="I10" i="6"/>
  <c r="D10" i="6"/>
  <c r="C10" i="6"/>
  <c r="N10" i="6"/>
  <c r="M10" i="6"/>
  <c r="C22" i="7"/>
  <c r="C9" i="7"/>
  <c r="L53" i="4"/>
  <c r="F10" i="6"/>
  <c r="F30" i="5"/>
  <c r="C54" i="4" l="1"/>
  <c r="H54" i="4"/>
  <c r="J27" i="3"/>
  <c r="E54" i="4"/>
  <c r="G54" i="4"/>
  <c r="J54" i="4"/>
  <c r="K54" i="4"/>
  <c r="C29" i="12"/>
  <c r="D54" i="4"/>
  <c r="N54" i="4"/>
  <c r="M27" i="3"/>
  <c r="M52" i="3" s="1"/>
  <c r="N27" i="3"/>
  <c r="N52" i="3" s="1"/>
  <c r="C36" i="4"/>
  <c r="D33" i="4" s="1"/>
  <c r="D35" i="4" s="1"/>
  <c r="D36" i="4" s="1"/>
  <c r="G27" i="3"/>
  <c r="G52" i="3" s="1"/>
  <c r="C20" i="4"/>
  <c r="D17" i="4" s="1"/>
  <c r="D19" i="4" s="1"/>
  <c r="D20" i="4" s="1"/>
  <c r="E17" i="4" s="1"/>
  <c r="C44" i="4"/>
  <c r="D41" i="4" s="1"/>
  <c r="D43" i="4" s="1"/>
  <c r="D44" i="4" s="1"/>
  <c r="C17" i="7"/>
  <c r="C18" i="7" s="1"/>
  <c r="D15" i="7" s="1"/>
  <c r="D27" i="3"/>
  <c r="D52" i="3" s="1"/>
  <c r="K27" i="3"/>
  <c r="K52" i="3" s="1"/>
  <c r="L27" i="3"/>
  <c r="L52" i="3" s="1"/>
  <c r="G17" i="7"/>
  <c r="G24" i="10" s="1"/>
  <c r="C12" i="7"/>
  <c r="D9" i="7" s="1"/>
  <c r="D12" i="7" s="1"/>
  <c r="D17" i="7"/>
  <c r="D24" i="10" s="1"/>
  <c r="K32" i="5"/>
  <c r="K21" i="6" s="1"/>
  <c r="K23" i="6" s="1"/>
  <c r="N17" i="7"/>
  <c r="N10" i="12" s="1"/>
  <c r="I32" i="5"/>
  <c r="I19" i="10" s="1"/>
  <c r="C30" i="4"/>
  <c r="C22" i="5" s="1"/>
  <c r="M17" i="7"/>
  <c r="M24" i="10" s="1"/>
  <c r="N32" i="5"/>
  <c r="N19" i="10" s="1"/>
  <c r="E17" i="7"/>
  <c r="F27" i="3"/>
  <c r="F52" i="3" s="1"/>
  <c r="J32" i="5"/>
  <c r="J19" i="10" s="1"/>
  <c r="H52" i="3"/>
  <c r="J52" i="3"/>
  <c r="D27" i="4"/>
  <c r="D28" i="4" s="1"/>
  <c r="I27" i="3"/>
  <c r="C44" i="3"/>
  <c r="C45" i="3" s="1"/>
  <c r="L63" i="4"/>
  <c r="N63" i="4"/>
  <c r="M63" i="4"/>
  <c r="G55" i="4"/>
  <c r="I55" i="4"/>
  <c r="H55" i="4"/>
  <c r="N55" i="4"/>
  <c r="K55" i="4"/>
  <c r="J55" i="4"/>
  <c r="F55" i="4"/>
  <c r="M55" i="4"/>
  <c r="D55" i="4"/>
  <c r="L55" i="4"/>
  <c r="E55" i="4"/>
  <c r="C52" i="3"/>
  <c r="C25" i="11"/>
  <c r="C27" i="8"/>
  <c r="D24" i="8"/>
  <c r="D26" i="8" s="1"/>
  <c r="G32" i="5"/>
  <c r="C32" i="5"/>
  <c r="I17" i="7"/>
  <c r="M64" i="4"/>
  <c r="N64" i="4"/>
  <c r="I60" i="4"/>
  <c r="L60" i="4"/>
  <c r="K60" i="4"/>
  <c r="J60" i="4"/>
  <c r="N60" i="4"/>
  <c r="M60" i="4"/>
  <c r="E32" i="5"/>
  <c r="J17" i="7"/>
  <c r="J59" i="4"/>
  <c r="I59" i="4"/>
  <c r="K59" i="4"/>
  <c r="H59" i="4"/>
  <c r="N59" i="4"/>
  <c r="M59" i="4"/>
  <c r="L59" i="4"/>
  <c r="F56" i="4"/>
  <c r="E56" i="4"/>
  <c r="K56" i="4"/>
  <c r="M56" i="4"/>
  <c r="G56" i="4"/>
  <c r="N56" i="4"/>
  <c r="L56" i="4"/>
  <c r="J56" i="4"/>
  <c r="I56" i="4"/>
  <c r="H56" i="4"/>
  <c r="M61" i="4"/>
  <c r="L61" i="4"/>
  <c r="J61" i="4"/>
  <c r="N61" i="4"/>
  <c r="K61" i="4"/>
  <c r="L32" i="5"/>
  <c r="M32" i="5"/>
  <c r="D32" i="5"/>
  <c r="C46" i="4"/>
  <c r="C24" i="5" s="1"/>
  <c r="F17" i="7"/>
  <c r="C12" i="8"/>
  <c r="K57" i="4"/>
  <c r="J57" i="4"/>
  <c r="G57" i="4"/>
  <c r="F57" i="4"/>
  <c r="M57" i="4"/>
  <c r="L57" i="4"/>
  <c r="I57" i="4"/>
  <c r="N57" i="4"/>
  <c r="H57" i="4"/>
  <c r="H17" i="7"/>
  <c r="L17" i="7"/>
  <c r="E52" i="3"/>
  <c r="H58" i="4"/>
  <c r="I58" i="4"/>
  <c r="N58" i="4"/>
  <c r="M58" i="4"/>
  <c r="J58" i="4"/>
  <c r="L58" i="4"/>
  <c r="K58" i="4"/>
  <c r="G58" i="4"/>
  <c r="C66" i="4"/>
  <c r="C9" i="3" s="1"/>
  <c r="C11" i="3" s="1"/>
  <c r="N62" i="4"/>
  <c r="M62" i="4"/>
  <c r="L62" i="4"/>
  <c r="K62" i="4"/>
  <c r="C11" i="4"/>
  <c r="C12" i="4" s="1"/>
  <c r="H32" i="5"/>
  <c r="F32" i="5"/>
  <c r="K17" i="7"/>
  <c r="C24" i="10"/>
  <c r="C10" i="12"/>
  <c r="D10" i="12" l="1"/>
  <c r="C38" i="4"/>
  <c r="C23" i="5" s="1"/>
  <c r="D66" i="4"/>
  <c r="D9" i="3" s="1"/>
  <c r="D11" i="3" s="1"/>
  <c r="G32" i="3" s="1"/>
  <c r="N24" i="10"/>
  <c r="G10" i="12"/>
  <c r="I21" i="6"/>
  <c r="I23" i="6" s="1"/>
  <c r="I11" i="11" s="1"/>
  <c r="K19" i="10"/>
  <c r="C22" i="4"/>
  <c r="C21" i="5" s="1"/>
  <c r="D18" i="7"/>
  <c r="E15" i="7" s="1"/>
  <c r="E18" i="7" s="1"/>
  <c r="F15" i="7" s="1"/>
  <c r="F18" i="7" s="1"/>
  <c r="G15" i="7" s="1"/>
  <c r="G18" i="7" s="1"/>
  <c r="H15" i="7" s="1"/>
  <c r="H18" i="7" s="1"/>
  <c r="I15" i="7" s="1"/>
  <c r="I18" i="7" s="1"/>
  <c r="J15" i="7" s="1"/>
  <c r="J18" i="7" s="1"/>
  <c r="K15" i="7" s="1"/>
  <c r="K18" i="7" s="1"/>
  <c r="L15" i="7" s="1"/>
  <c r="L18" i="7" s="1"/>
  <c r="M15" i="7" s="1"/>
  <c r="M18" i="7" s="1"/>
  <c r="N15" i="7" s="1"/>
  <c r="N18" i="7" s="1"/>
  <c r="C23" i="7"/>
  <c r="C19" i="7"/>
  <c r="M10" i="12"/>
  <c r="E24" i="10"/>
  <c r="L66" i="4"/>
  <c r="L9" i="3" s="1"/>
  <c r="L11" i="3" s="1"/>
  <c r="L13" i="3" s="1"/>
  <c r="N21" i="6"/>
  <c r="N23" i="6" s="1"/>
  <c r="E10" i="12"/>
  <c r="N66" i="4"/>
  <c r="N9" i="3" s="1"/>
  <c r="N11" i="3" s="1"/>
  <c r="N13" i="3" s="1"/>
  <c r="J66" i="4"/>
  <c r="J9" i="3" s="1"/>
  <c r="J11" i="3" s="1"/>
  <c r="M38" i="3" s="1"/>
  <c r="H66" i="4"/>
  <c r="H9" i="3" s="1"/>
  <c r="H11" i="3" s="1"/>
  <c r="I36" i="3" s="1"/>
  <c r="M66" i="4"/>
  <c r="M9" i="3" s="1"/>
  <c r="M11" i="3" s="1"/>
  <c r="M53" i="3" s="1"/>
  <c r="K66" i="4"/>
  <c r="K9" i="3" s="1"/>
  <c r="K11" i="3" s="1"/>
  <c r="L39" i="3" s="1"/>
  <c r="G66" i="4"/>
  <c r="G9" i="3" s="1"/>
  <c r="G11" i="3" s="1"/>
  <c r="L35" i="3" s="1"/>
  <c r="J21" i="6"/>
  <c r="J23" i="6" s="1"/>
  <c r="J11" i="11" s="1"/>
  <c r="E33" i="4"/>
  <c r="D38" i="4"/>
  <c r="D23" i="5" s="1"/>
  <c r="E25" i="4"/>
  <c r="D30" i="4"/>
  <c r="D22" i="5" s="1"/>
  <c r="E41" i="4"/>
  <c r="D46" i="4"/>
  <c r="D24" i="5" s="1"/>
  <c r="C20" i="11"/>
  <c r="C15" i="8"/>
  <c r="D9" i="8"/>
  <c r="D22" i="4"/>
  <c r="D21" i="5" s="1"/>
  <c r="F10" i="12"/>
  <c r="F24" i="10"/>
  <c r="C49" i="4"/>
  <c r="D9" i="4"/>
  <c r="C14" i="8"/>
  <c r="C26" i="10" s="1"/>
  <c r="K10" i="12"/>
  <c r="K24" i="10"/>
  <c r="H10" i="12"/>
  <c r="H24" i="10"/>
  <c r="E24" i="8"/>
  <c r="E26" i="8" s="1"/>
  <c r="D27" i="8"/>
  <c r="D25" i="11"/>
  <c r="I66" i="4"/>
  <c r="I9" i="3" s="1"/>
  <c r="I11" i="3" s="1"/>
  <c r="K11" i="11"/>
  <c r="C14" i="4"/>
  <c r="I10" i="12"/>
  <c r="I24" i="10"/>
  <c r="E66" i="4"/>
  <c r="E9" i="3" s="1"/>
  <c r="E11" i="3" s="1"/>
  <c r="E19" i="4"/>
  <c r="E20" i="4" s="1"/>
  <c r="F17" i="4" s="1"/>
  <c r="F19" i="10"/>
  <c r="F21" i="6"/>
  <c r="F23" i="6" s="1"/>
  <c r="D53" i="3"/>
  <c r="M32" i="3"/>
  <c r="D13" i="3"/>
  <c r="F32" i="3"/>
  <c r="H32" i="3"/>
  <c r="J32" i="3"/>
  <c r="K32" i="3"/>
  <c r="D19" i="10"/>
  <c r="D21" i="6"/>
  <c r="D23" i="6" s="1"/>
  <c r="L19" i="10"/>
  <c r="L21" i="6"/>
  <c r="L23" i="6" s="1"/>
  <c r="C21" i="6"/>
  <c r="C23" i="6" s="1"/>
  <c r="C19" i="10"/>
  <c r="J10" i="12"/>
  <c r="J24" i="10"/>
  <c r="C8" i="10"/>
  <c r="C9" i="5"/>
  <c r="C11" i="5" s="1"/>
  <c r="C12" i="11"/>
  <c r="F66" i="4"/>
  <c r="F9" i="3" s="1"/>
  <c r="F11" i="3" s="1"/>
  <c r="I52" i="3"/>
  <c r="H19" i="10"/>
  <c r="H21" i="6"/>
  <c r="H23" i="6" s="1"/>
  <c r="N11" i="11"/>
  <c r="H31" i="3"/>
  <c r="C13" i="3"/>
  <c r="D31" i="3"/>
  <c r="D44" i="3" s="1"/>
  <c r="D45" i="3" s="1"/>
  <c r="C53" i="3"/>
  <c r="M31" i="3"/>
  <c r="L31" i="3"/>
  <c r="K31" i="3"/>
  <c r="J31" i="3"/>
  <c r="I31" i="3"/>
  <c r="F31" i="3"/>
  <c r="G31" i="3"/>
  <c r="N31" i="3"/>
  <c r="E31" i="3"/>
  <c r="E9" i="7"/>
  <c r="E12" i="7" s="1"/>
  <c r="E19" i="10"/>
  <c r="E21" i="6"/>
  <c r="E23" i="6" s="1"/>
  <c r="L24" i="10"/>
  <c r="L10" i="12"/>
  <c r="M19" i="10"/>
  <c r="M21" i="6"/>
  <c r="M23" i="6" s="1"/>
  <c r="G19" i="10"/>
  <c r="G21" i="6"/>
  <c r="G23" i="6" s="1"/>
  <c r="C24" i="7" l="1"/>
  <c r="C20" i="14" s="1"/>
  <c r="L32" i="3"/>
  <c r="N32" i="3"/>
  <c r="E32" i="3"/>
  <c r="I24" i="6"/>
  <c r="I12" i="12" s="1"/>
  <c r="D22" i="7"/>
  <c r="D23" i="7" s="1"/>
  <c r="I32" i="3"/>
  <c r="D19" i="7"/>
  <c r="I35" i="3"/>
  <c r="N38" i="3"/>
  <c r="J35" i="3"/>
  <c r="K38" i="3"/>
  <c r="H35" i="3"/>
  <c r="N35" i="3"/>
  <c r="J13" i="3"/>
  <c r="J18" i="3" s="1"/>
  <c r="J53" i="3"/>
  <c r="L38" i="3"/>
  <c r="K13" i="3"/>
  <c r="K47" i="3" s="1"/>
  <c r="K53" i="3"/>
  <c r="K24" i="6"/>
  <c r="K12" i="12" s="1"/>
  <c r="N53" i="3"/>
  <c r="N41" i="3"/>
  <c r="M13" i="3"/>
  <c r="M18" i="3" s="1"/>
  <c r="M40" i="3"/>
  <c r="L53" i="3"/>
  <c r="K36" i="3"/>
  <c r="M36" i="3"/>
  <c r="H53" i="3"/>
  <c r="G13" i="3"/>
  <c r="G47" i="3" s="1"/>
  <c r="J24" i="6"/>
  <c r="J12" i="12" s="1"/>
  <c r="J36" i="3"/>
  <c r="N36" i="3"/>
  <c r="M39" i="3"/>
  <c r="N40" i="3"/>
  <c r="H13" i="3"/>
  <c r="H18" i="3" s="1"/>
  <c r="N39" i="3"/>
  <c r="L36" i="3"/>
  <c r="E44" i="3"/>
  <c r="E45" i="3" s="1"/>
  <c r="E8" i="10" s="1"/>
  <c r="M35" i="3"/>
  <c r="K35" i="3"/>
  <c r="G53" i="3"/>
  <c r="C20" i="5"/>
  <c r="C25" i="5" s="1"/>
  <c r="C50" i="4"/>
  <c r="E27" i="4"/>
  <c r="E28" i="4" s="1"/>
  <c r="F25" i="4" s="1"/>
  <c r="M11" i="11"/>
  <c r="M24" i="6"/>
  <c r="M12" i="12" s="1"/>
  <c r="F19" i="4"/>
  <c r="F20" i="4" s="1"/>
  <c r="G17" i="4" s="1"/>
  <c r="E11" i="11"/>
  <c r="E24" i="6"/>
  <c r="E12" i="12" s="1"/>
  <c r="C47" i="3"/>
  <c r="C18" i="3"/>
  <c r="C20" i="3" s="1"/>
  <c r="D17" i="3" s="1"/>
  <c r="L18" i="3"/>
  <c r="L47" i="3"/>
  <c r="E43" i="4"/>
  <c r="E44" i="4" s="1"/>
  <c r="F11" i="11"/>
  <c r="F24" i="6"/>
  <c r="F12" i="12" s="1"/>
  <c r="D11" i="4"/>
  <c r="D12" i="4" s="1"/>
  <c r="D11" i="8"/>
  <c r="D26" i="12" s="1"/>
  <c r="D29" i="12" s="1"/>
  <c r="N18" i="3"/>
  <c r="N47" i="3"/>
  <c r="D8" i="10"/>
  <c r="D9" i="5"/>
  <c r="D11" i="5" s="1"/>
  <c r="C12" i="10"/>
  <c r="E22" i="4"/>
  <c r="E21" i="5" s="1"/>
  <c r="E35" i="4"/>
  <c r="E36" i="4" s="1"/>
  <c r="E19" i="7"/>
  <c r="F9" i="7"/>
  <c r="F12" i="7" s="1"/>
  <c r="D47" i="3"/>
  <c r="D48" i="3" s="1"/>
  <c r="D18" i="3"/>
  <c r="I13" i="3"/>
  <c r="I53" i="3"/>
  <c r="N37" i="3"/>
  <c r="M37" i="3"/>
  <c r="K37" i="3"/>
  <c r="J37" i="3"/>
  <c r="L37" i="3"/>
  <c r="N24" i="6"/>
  <c r="N12" i="12" s="1"/>
  <c r="L11" i="11"/>
  <c r="L24" i="6"/>
  <c r="L12" i="12" s="1"/>
  <c r="E25" i="11"/>
  <c r="F24" i="8"/>
  <c r="F26" i="8" s="1"/>
  <c r="E27" i="8"/>
  <c r="D24" i="7"/>
  <c r="D20" i="14" s="1"/>
  <c r="E22" i="7"/>
  <c r="E23" i="7" s="1"/>
  <c r="D12" i="11"/>
  <c r="H11" i="11"/>
  <c r="H24" i="6"/>
  <c r="H12" i="12" s="1"/>
  <c r="C11" i="11"/>
  <c r="C24" i="6"/>
  <c r="C12" i="12" s="1"/>
  <c r="N33" i="3"/>
  <c r="E53" i="3"/>
  <c r="L33" i="3"/>
  <c r="J33" i="3"/>
  <c r="K33" i="3"/>
  <c r="H33" i="3"/>
  <c r="F33" i="3"/>
  <c r="F44" i="3" s="1"/>
  <c r="F45" i="3" s="1"/>
  <c r="E13" i="3"/>
  <c r="I33" i="3"/>
  <c r="G33" i="3"/>
  <c r="M33" i="3"/>
  <c r="D11" i="11"/>
  <c r="D24" i="6"/>
  <c r="D12" i="12" s="1"/>
  <c r="G11" i="11"/>
  <c r="G24" i="6"/>
  <c r="G12" i="12" s="1"/>
  <c r="F53" i="3"/>
  <c r="G34" i="3"/>
  <c r="N34" i="3"/>
  <c r="M34" i="3"/>
  <c r="K34" i="3"/>
  <c r="F13" i="3"/>
  <c r="I34" i="3"/>
  <c r="H34" i="3"/>
  <c r="J34" i="3"/>
  <c r="L34" i="3"/>
  <c r="J47" i="3" l="1"/>
  <c r="M44" i="3"/>
  <c r="M45" i="3" s="1"/>
  <c r="M47" i="3"/>
  <c r="H47" i="3"/>
  <c r="K18" i="3"/>
  <c r="N44" i="3"/>
  <c r="N45" i="3" s="1"/>
  <c r="N8" i="10" s="1"/>
  <c r="E9" i="5"/>
  <c r="E11" i="5" s="1"/>
  <c r="E12" i="10" s="1"/>
  <c r="G18" i="3"/>
  <c r="L44" i="3"/>
  <c r="L45" i="3" s="1"/>
  <c r="L48" i="3" s="1"/>
  <c r="D12" i="8"/>
  <c r="D14" i="8" s="1"/>
  <c r="D26" i="10" s="1"/>
  <c r="J44" i="3"/>
  <c r="J45" i="3" s="1"/>
  <c r="J8" i="10" s="1"/>
  <c r="G44" i="3"/>
  <c r="G45" i="3" s="1"/>
  <c r="G9" i="5" s="1"/>
  <c r="G11" i="5" s="1"/>
  <c r="I44" i="3"/>
  <c r="I45" i="3" s="1"/>
  <c r="I8" i="10" s="1"/>
  <c r="H44" i="3"/>
  <c r="H45" i="3" s="1"/>
  <c r="H8" i="10" s="1"/>
  <c r="K44" i="3"/>
  <c r="K45" i="3" s="1"/>
  <c r="K48" i="3" s="1"/>
  <c r="E9" i="4"/>
  <c r="D49" i="4"/>
  <c r="D14" i="4"/>
  <c r="F9" i="5"/>
  <c r="F11" i="5" s="1"/>
  <c r="F8" i="10"/>
  <c r="F41" i="4"/>
  <c r="E46" i="4"/>
  <c r="E24" i="5" s="1"/>
  <c r="F33" i="4"/>
  <c r="E38" i="4"/>
  <c r="E23" i="5" s="1"/>
  <c r="F18" i="3"/>
  <c r="F47" i="3"/>
  <c r="F48" i="3" s="1"/>
  <c r="I47" i="3"/>
  <c r="I18" i="3"/>
  <c r="D35" i="6"/>
  <c r="D58" i="3"/>
  <c r="D9" i="6"/>
  <c r="D11" i="6" s="1"/>
  <c r="D12" i="10"/>
  <c r="D9" i="10"/>
  <c r="D10" i="10" s="1"/>
  <c r="D12" i="5"/>
  <c r="D14" i="5" s="1"/>
  <c r="D13" i="10" s="1"/>
  <c r="D54" i="3"/>
  <c r="D55" i="3" s="1"/>
  <c r="M9" i="10"/>
  <c r="M12" i="5"/>
  <c r="M14" i="5" s="1"/>
  <c r="M13" i="10" s="1"/>
  <c r="M54" i="3"/>
  <c r="M55" i="3" s="1"/>
  <c r="L12" i="5"/>
  <c r="L14" i="5" s="1"/>
  <c r="L13" i="10" s="1"/>
  <c r="L9" i="10"/>
  <c r="L54" i="3"/>
  <c r="L55" i="3" s="1"/>
  <c r="E30" i="4"/>
  <c r="E22" i="5" s="1"/>
  <c r="F19" i="7"/>
  <c r="G9" i="7"/>
  <c r="G12" i="7" s="1"/>
  <c r="N9" i="10"/>
  <c r="N12" i="5"/>
  <c r="N14" i="5" s="1"/>
  <c r="N13" i="10" s="1"/>
  <c r="N54" i="3"/>
  <c r="N55" i="3" s="1"/>
  <c r="E12" i="11"/>
  <c r="E24" i="7"/>
  <c r="E20" i="14" s="1"/>
  <c r="F22" i="7"/>
  <c r="F23" i="7" s="1"/>
  <c r="H9" i="10"/>
  <c r="H12" i="5"/>
  <c r="H14" i="5" s="1"/>
  <c r="H13" i="10" s="1"/>
  <c r="H54" i="3"/>
  <c r="H55" i="3" s="1"/>
  <c r="F27" i="4"/>
  <c r="F28" i="4" s="1"/>
  <c r="D19" i="3"/>
  <c r="D20" i="3" s="1"/>
  <c r="E17" i="3" s="1"/>
  <c r="E18" i="3"/>
  <c r="E47" i="3"/>
  <c r="C9" i="10"/>
  <c r="C10" i="10" s="1"/>
  <c r="C54" i="3"/>
  <c r="C55" i="3" s="1"/>
  <c r="C12" i="5"/>
  <c r="C14" i="5" s="1"/>
  <c r="C48" i="3"/>
  <c r="G9" i="10"/>
  <c r="G54" i="3"/>
  <c r="G55" i="3" s="1"/>
  <c r="G12" i="5"/>
  <c r="G14" i="5" s="1"/>
  <c r="G13" i="10" s="1"/>
  <c r="M8" i="10"/>
  <c r="M9" i="5"/>
  <c r="M11" i="5" s="1"/>
  <c r="M48" i="3"/>
  <c r="C37" i="5"/>
  <c r="C27" i="6" s="1"/>
  <c r="C29" i="6" s="1"/>
  <c r="C18" i="10"/>
  <c r="C20" i="10" s="1"/>
  <c r="K9" i="10"/>
  <c r="K12" i="5"/>
  <c r="K14" i="5" s="1"/>
  <c r="K13" i="10" s="1"/>
  <c r="K54" i="3"/>
  <c r="K55" i="3" s="1"/>
  <c r="F22" i="4"/>
  <c r="F21" i="5" s="1"/>
  <c r="G19" i="4"/>
  <c r="G20" i="4" s="1"/>
  <c r="H17" i="4" s="1"/>
  <c r="J9" i="10"/>
  <c r="J54" i="3"/>
  <c r="J55" i="3" s="1"/>
  <c r="J12" i="5"/>
  <c r="J14" i="5" s="1"/>
  <c r="J13" i="10" s="1"/>
  <c r="F25" i="11"/>
  <c r="G24" i="8"/>
  <c r="G26" i="8" s="1"/>
  <c r="F27" i="8"/>
  <c r="M10" i="10" l="1"/>
  <c r="G48" i="3"/>
  <c r="J10" i="10"/>
  <c r="C33" i="14" s="1"/>
  <c r="G8" i="10"/>
  <c r="L9" i="5"/>
  <c r="L11" i="5" s="1"/>
  <c r="L12" i="10" s="1"/>
  <c r="L14" i="10" s="1"/>
  <c r="L8" i="10"/>
  <c r="H9" i="5"/>
  <c r="H11" i="5" s="1"/>
  <c r="H12" i="10" s="1"/>
  <c r="H14" i="10" s="1"/>
  <c r="N48" i="3"/>
  <c r="H48" i="3"/>
  <c r="H35" i="6" s="1"/>
  <c r="K9" i="5"/>
  <c r="K11" i="5" s="1"/>
  <c r="K15" i="5" s="1"/>
  <c r="K15" i="6" s="1"/>
  <c r="K17" i="6" s="1"/>
  <c r="N9" i="5"/>
  <c r="N11" i="5" s="1"/>
  <c r="N12" i="10" s="1"/>
  <c r="N14" i="10" s="1"/>
  <c r="K8" i="10"/>
  <c r="K10" i="10" s="1"/>
  <c r="J48" i="3"/>
  <c r="J58" i="3" s="1"/>
  <c r="J9" i="5"/>
  <c r="J11" i="5" s="1"/>
  <c r="J12" i="10" s="1"/>
  <c r="J14" i="10" s="1"/>
  <c r="J15" i="10" s="1"/>
  <c r="I48" i="3"/>
  <c r="I58" i="3" s="1"/>
  <c r="I9" i="5"/>
  <c r="I11" i="5" s="1"/>
  <c r="I12" i="10" s="1"/>
  <c r="D15" i="8"/>
  <c r="D20" i="11"/>
  <c r="E9" i="8"/>
  <c r="E11" i="8" s="1"/>
  <c r="E26" i="12" s="1"/>
  <c r="E29" i="12" s="1"/>
  <c r="D14" i="10"/>
  <c r="D15" i="10" s="1"/>
  <c r="N10" i="10"/>
  <c r="C37" i="14" s="1"/>
  <c r="G25" i="4"/>
  <c r="F30" i="4"/>
  <c r="F22" i="5" s="1"/>
  <c r="G22" i="4"/>
  <c r="G21" i="5" s="1"/>
  <c r="C36" i="14"/>
  <c r="N34" i="6"/>
  <c r="N57" i="3"/>
  <c r="I35" i="6"/>
  <c r="K58" i="3"/>
  <c r="K35" i="6"/>
  <c r="K9" i="6"/>
  <c r="K11" i="6" s="1"/>
  <c r="J34" i="6"/>
  <c r="J57" i="3"/>
  <c r="E19" i="3"/>
  <c r="E20" i="3" s="1"/>
  <c r="F17" i="3" s="1"/>
  <c r="F9" i="6"/>
  <c r="F11" i="6" s="1"/>
  <c r="F35" i="6"/>
  <c r="F58" i="3"/>
  <c r="D15" i="5"/>
  <c r="F35" i="4"/>
  <c r="F36" i="4" s="1"/>
  <c r="F12" i="10"/>
  <c r="G34" i="6"/>
  <c r="G57" i="3"/>
  <c r="G19" i="7"/>
  <c r="H9" i="7"/>
  <c r="H12" i="7" s="1"/>
  <c r="K34" i="6"/>
  <c r="K57" i="3"/>
  <c r="G22" i="7"/>
  <c r="G23" i="7" s="1"/>
  <c r="F12" i="11"/>
  <c r="F24" i="7"/>
  <c r="F20" i="14" s="1"/>
  <c r="N35" i="6"/>
  <c r="N9" i="6"/>
  <c r="N11" i="6" s="1"/>
  <c r="N58" i="3"/>
  <c r="H19" i="4"/>
  <c r="H20" i="4" s="1"/>
  <c r="C35" i="6"/>
  <c r="C9" i="6"/>
  <c r="C11" i="6" s="1"/>
  <c r="D12" i="6" s="1"/>
  <c r="C58" i="3"/>
  <c r="D10" i="11"/>
  <c r="D50" i="4"/>
  <c r="D20" i="5"/>
  <c r="D25" i="5" s="1"/>
  <c r="C13" i="10"/>
  <c r="C14" i="10" s="1"/>
  <c r="C15" i="10" s="1"/>
  <c r="C15" i="5"/>
  <c r="C15" i="6" s="1"/>
  <c r="C17" i="6" s="1"/>
  <c r="G9" i="6"/>
  <c r="G11" i="6" s="1"/>
  <c r="G35" i="6"/>
  <c r="G58" i="3"/>
  <c r="G12" i="10"/>
  <c r="G14" i="10" s="1"/>
  <c r="G15" i="5"/>
  <c r="G15" i="6" s="1"/>
  <c r="G17" i="6" s="1"/>
  <c r="E11" i="4"/>
  <c r="E12" i="4" s="1"/>
  <c r="C18" i="11"/>
  <c r="C30" i="6"/>
  <c r="C14" i="12" s="1"/>
  <c r="C26" i="14"/>
  <c r="H34" i="6"/>
  <c r="H57" i="3"/>
  <c r="C34" i="6"/>
  <c r="C57" i="3"/>
  <c r="G25" i="11"/>
  <c r="H24" i="8"/>
  <c r="H26" i="8" s="1"/>
  <c r="G27" i="8"/>
  <c r="L35" i="6"/>
  <c r="L9" i="6"/>
  <c r="L11" i="6" s="1"/>
  <c r="L58" i="3"/>
  <c r="M34" i="6"/>
  <c r="M57" i="3"/>
  <c r="G10" i="10"/>
  <c r="I9" i="10"/>
  <c r="I10" i="10" s="1"/>
  <c r="I12" i="5"/>
  <c r="I14" i="5" s="1"/>
  <c r="I13" i="10" s="1"/>
  <c r="I54" i="3"/>
  <c r="I55" i="3" s="1"/>
  <c r="L10" i="10"/>
  <c r="F9" i="10"/>
  <c r="F10" i="10" s="1"/>
  <c r="F12" i="5"/>
  <c r="F14" i="5" s="1"/>
  <c r="F13" i="10" s="1"/>
  <c r="F54" i="3"/>
  <c r="F55" i="3" s="1"/>
  <c r="F43" i="4"/>
  <c r="F44" i="4" s="1"/>
  <c r="L34" i="6"/>
  <c r="L57" i="3"/>
  <c r="M9" i="6"/>
  <c r="M11" i="6" s="1"/>
  <c r="M58" i="3"/>
  <c r="M35" i="6"/>
  <c r="C27" i="14"/>
  <c r="H10" i="10"/>
  <c r="M12" i="10"/>
  <c r="M14" i="10" s="1"/>
  <c r="M15" i="10" s="1"/>
  <c r="M15" i="5"/>
  <c r="M15" i="6" s="1"/>
  <c r="M17" i="6" s="1"/>
  <c r="E9" i="10"/>
  <c r="E10" i="10" s="1"/>
  <c r="E12" i="5"/>
  <c r="E14" i="5" s="1"/>
  <c r="E54" i="3"/>
  <c r="E55" i="3" s="1"/>
  <c r="E48" i="3"/>
  <c r="D34" i="6"/>
  <c r="D57" i="3"/>
  <c r="J35" i="6" l="1"/>
  <c r="K12" i="10"/>
  <c r="K14" i="10" s="1"/>
  <c r="K15" i="10" s="1"/>
  <c r="H58" i="3"/>
  <c r="L15" i="5"/>
  <c r="L15" i="6" s="1"/>
  <c r="L17" i="6" s="1"/>
  <c r="L17" i="11" s="1"/>
  <c r="H9" i="6"/>
  <c r="H11" i="6" s="1"/>
  <c r="H10" i="11" s="1"/>
  <c r="N15" i="5"/>
  <c r="N15" i="6" s="1"/>
  <c r="N17" i="6" s="1"/>
  <c r="N17" i="11" s="1"/>
  <c r="H15" i="5"/>
  <c r="H15" i="6" s="1"/>
  <c r="H17" i="6" s="1"/>
  <c r="H18" i="6" s="1"/>
  <c r="H13" i="12" s="1"/>
  <c r="I9" i="6"/>
  <c r="I11" i="6" s="1"/>
  <c r="I10" i="11" s="1"/>
  <c r="I15" i="5"/>
  <c r="I15" i="6" s="1"/>
  <c r="I17" i="6" s="1"/>
  <c r="I18" i="6" s="1"/>
  <c r="I13" i="12" s="1"/>
  <c r="J15" i="5"/>
  <c r="J15" i="6" s="1"/>
  <c r="J17" i="6" s="1"/>
  <c r="K18" i="6" s="1"/>
  <c r="K13" i="12" s="1"/>
  <c r="I14" i="10"/>
  <c r="I15" i="10" s="1"/>
  <c r="E12" i="8"/>
  <c r="E14" i="8" s="1"/>
  <c r="E26" i="10" s="1"/>
  <c r="J9" i="6"/>
  <c r="J11" i="6" s="1"/>
  <c r="J10" i="11" s="1"/>
  <c r="N15" i="10"/>
  <c r="N16" i="10" s="1"/>
  <c r="M16" i="5"/>
  <c r="M17" i="5" s="1"/>
  <c r="C16" i="5"/>
  <c r="C17" i="5" s="1"/>
  <c r="G41" i="4"/>
  <c r="F46" i="4"/>
  <c r="F24" i="5" s="1"/>
  <c r="M16" i="10"/>
  <c r="J16" i="10"/>
  <c r="I17" i="4"/>
  <c r="H22" i="4"/>
  <c r="H21" i="5" s="1"/>
  <c r="C29" i="14"/>
  <c r="G33" i="4"/>
  <c r="F38" i="4"/>
  <c r="F23" i="5" s="1"/>
  <c r="F19" i="3"/>
  <c r="F20" i="3" s="1"/>
  <c r="G17" i="3" s="1"/>
  <c r="K17" i="11"/>
  <c r="C34" i="14"/>
  <c r="D16" i="10"/>
  <c r="F34" i="6"/>
  <c r="F57" i="3"/>
  <c r="E49" i="4"/>
  <c r="F9" i="4"/>
  <c r="G17" i="11"/>
  <c r="I16" i="5"/>
  <c r="I17" i="5" s="1"/>
  <c r="H19" i="7"/>
  <c r="I9" i="7"/>
  <c r="I12" i="7" s="1"/>
  <c r="L12" i="6"/>
  <c r="L10" i="11"/>
  <c r="G12" i="11"/>
  <c r="G24" i="7"/>
  <c r="G20" i="14" s="1"/>
  <c r="H22" i="7"/>
  <c r="H23" i="7" s="1"/>
  <c r="M12" i="6"/>
  <c r="M10" i="11"/>
  <c r="D11" i="12"/>
  <c r="F10" i="11"/>
  <c r="C32" i="14"/>
  <c r="E9" i="6"/>
  <c r="E11" i="6" s="1"/>
  <c r="E35" i="6"/>
  <c r="E58" i="3"/>
  <c r="E34" i="6"/>
  <c r="E57" i="3"/>
  <c r="C35" i="14"/>
  <c r="L15" i="10"/>
  <c r="C17" i="11"/>
  <c r="C18" i="6"/>
  <c r="C13" i="12" s="1"/>
  <c r="N10" i="11"/>
  <c r="N12" i="6"/>
  <c r="F14" i="10"/>
  <c r="F15" i="10" s="1"/>
  <c r="C21" i="10"/>
  <c r="C16" i="10"/>
  <c r="G16" i="5"/>
  <c r="G17" i="5" s="1"/>
  <c r="F15" i="5"/>
  <c r="C28" i="14"/>
  <c r="H25" i="11"/>
  <c r="I24" i="8"/>
  <c r="I26" i="8" s="1"/>
  <c r="H27" i="8"/>
  <c r="M17" i="11"/>
  <c r="C7" i="14"/>
  <c r="C10" i="11"/>
  <c r="C12" i="6"/>
  <c r="G10" i="11"/>
  <c r="G12" i="6"/>
  <c r="C59" i="3"/>
  <c r="D37" i="5"/>
  <c r="D27" i="6" s="1"/>
  <c r="D29" i="6" s="1"/>
  <c r="D18" i="10"/>
  <c r="D20" i="10" s="1"/>
  <c r="D21" i="10" s="1"/>
  <c r="C35" i="5"/>
  <c r="K16" i="5"/>
  <c r="K17" i="5" s="1"/>
  <c r="I57" i="3"/>
  <c r="I34" i="6"/>
  <c r="C31" i="14"/>
  <c r="H15" i="10"/>
  <c r="E13" i="10"/>
  <c r="E14" i="10" s="1"/>
  <c r="E15" i="10" s="1"/>
  <c r="E15" i="5"/>
  <c r="E15" i="6" s="1"/>
  <c r="E17" i="6" s="1"/>
  <c r="K10" i="11"/>
  <c r="G27" i="4"/>
  <c r="G28" i="4" s="1"/>
  <c r="E14" i="4"/>
  <c r="G15" i="10"/>
  <c r="C30" i="14"/>
  <c r="D15" i="6"/>
  <c r="D17" i="6" s="1"/>
  <c r="D35" i="5"/>
  <c r="D16" i="5"/>
  <c r="D17" i="5" s="1"/>
  <c r="N16" i="5" l="1"/>
  <c r="N17" i="5" s="1"/>
  <c r="J16" i="5"/>
  <c r="J17" i="5" s="1"/>
  <c r="J18" i="6"/>
  <c r="J13" i="12" s="1"/>
  <c r="J17" i="11"/>
  <c r="I12" i="6"/>
  <c r="M18" i="6"/>
  <c r="M13" i="12" s="1"/>
  <c r="F9" i="8"/>
  <c r="F11" i="8" s="1"/>
  <c r="F26" i="12" s="1"/>
  <c r="F29" i="12" s="1"/>
  <c r="E15" i="8"/>
  <c r="E20" i="11"/>
  <c r="L18" i="6"/>
  <c r="L13" i="12" s="1"/>
  <c r="H12" i="6"/>
  <c r="H11" i="12" s="1"/>
  <c r="N18" i="6"/>
  <c r="N13" i="12" s="1"/>
  <c r="H17" i="11"/>
  <c r="I17" i="11"/>
  <c r="H16" i="5"/>
  <c r="H17" i="5" s="1"/>
  <c r="L16" i="5"/>
  <c r="L17" i="5" s="1"/>
  <c r="K12" i="6"/>
  <c r="J12" i="6"/>
  <c r="J11" i="12" s="1"/>
  <c r="E16" i="5"/>
  <c r="E17" i="5" s="1"/>
  <c r="F16" i="10"/>
  <c r="H25" i="4"/>
  <c r="G30" i="4"/>
  <c r="G22" i="5" s="1"/>
  <c r="E16" i="10"/>
  <c r="D27" i="14"/>
  <c r="D22" i="10"/>
  <c r="D25" i="10"/>
  <c r="D27" i="10" s="1"/>
  <c r="G19" i="3"/>
  <c r="G20" i="3" s="1"/>
  <c r="H17" i="3" s="1"/>
  <c r="L11" i="12"/>
  <c r="E10" i="11"/>
  <c r="E12" i="6"/>
  <c r="C18" i="8"/>
  <c r="C19" i="8" s="1"/>
  <c r="C21" i="8" s="1"/>
  <c r="C28" i="10" s="1"/>
  <c r="C36" i="5"/>
  <c r="D26" i="14"/>
  <c r="C25" i="10"/>
  <c r="C27" i="10" s="1"/>
  <c r="C22" i="10"/>
  <c r="D18" i="11"/>
  <c r="D30" i="6"/>
  <c r="D14" i="12" s="1"/>
  <c r="N11" i="12"/>
  <c r="G35" i="4"/>
  <c r="G36" i="4" s="1"/>
  <c r="F11" i="4"/>
  <c r="F12" i="4" s="1"/>
  <c r="F14" i="4" s="1"/>
  <c r="I11" i="12"/>
  <c r="J9" i="7"/>
  <c r="J12" i="7" s="1"/>
  <c r="I19" i="7"/>
  <c r="I16" i="10"/>
  <c r="H12" i="11"/>
  <c r="H24" i="7"/>
  <c r="H20" i="14" s="1"/>
  <c r="I22" i="7"/>
  <c r="I23" i="7" s="1"/>
  <c r="E18" i="6"/>
  <c r="E13" i="12" s="1"/>
  <c r="E17" i="11"/>
  <c r="G11" i="12"/>
  <c r="I25" i="11"/>
  <c r="J24" i="8"/>
  <c r="J26" i="8" s="1"/>
  <c r="I27" i="8"/>
  <c r="I19" i="4"/>
  <c r="I20" i="4" s="1"/>
  <c r="J17" i="4" s="1"/>
  <c r="D18" i="8"/>
  <c r="D19" i="8" s="1"/>
  <c r="D21" i="8" s="1"/>
  <c r="D28" i="10" s="1"/>
  <c r="D36" i="5"/>
  <c r="M11" i="12"/>
  <c r="K11" i="12"/>
  <c r="C21" i="14"/>
  <c r="C36" i="6"/>
  <c r="D56" i="3"/>
  <c r="C60" i="3"/>
  <c r="K16" i="10"/>
  <c r="L16" i="10"/>
  <c r="D18" i="6"/>
  <c r="D17" i="11"/>
  <c r="H16" i="10"/>
  <c r="F12" i="6"/>
  <c r="G16" i="10"/>
  <c r="F15" i="6"/>
  <c r="F17" i="6" s="1"/>
  <c r="F16" i="5"/>
  <c r="F17" i="5" s="1"/>
  <c r="E20" i="5"/>
  <c r="E25" i="5" s="1"/>
  <c r="E50" i="4"/>
  <c r="C11" i="12"/>
  <c r="G43" i="4"/>
  <c r="G44" i="4" s="1"/>
  <c r="H33" i="4" l="1"/>
  <c r="G38" i="4"/>
  <c r="G23" i="5" s="1"/>
  <c r="F12" i="8"/>
  <c r="F14" i="8" s="1"/>
  <c r="F26" i="10" s="1"/>
  <c r="I22" i="4"/>
  <c r="I21" i="5" s="1"/>
  <c r="H19" i="3"/>
  <c r="H20" i="3" s="1"/>
  <c r="I17" i="3" s="1"/>
  <c r="H41" i="4"/>
  <c r="G46" i="4"/>
  <c r="G24" i="5" s="1"/>
  <c r="E18" i="10"/>
  <c r="E20" i="10" s="1"/>
  <c r="E21" i="10" s="1"/>
  <c r="E37" i="5"/>
  <c r="E27" i="6" s="1"/>
  <c r="E29" i="6" s="1"/>
  <c r="E35" i="5"/>
  <c r="F11" i="12"/>
  <c r="I24" i="7"/>
  <c r="I20" i="14" s="1"/>
  <c r="I12" i="11"/>
  <c r="J22" i="7"/>
  <c r="J23" i="7" s="1"/>
  <c r="F18" i="6"/>
  <c r="F13" i="12" s="1"/>
  <c r="F17" i="11"/>
  <c r="G18" i="6"/>
  <c r="J19" i="4"/>
  <c r="J20" i="4" s="1"/>
  <c r="C19" i="11"/>
  <c r="C22" i="11" s="1"/>
  <c r="C37" i="6"/>
  <c r="C40" i="6"/>
  <c r="C41" i="6" s="1"/>
  <c r="K9" i="7"/>
  <c r="K12" i="7" s="1"/>
  <c r="J19" i="7"/>
  <c r="D13" i="12"/>
  <c r="D29" i="10"/>
  <c r="G9" i="4"/>
  <c r="F49" i="4"/>
  <c r="F50" i="4"/>
  <c r="F20" i="5"/>
  <c r="F25" i="5" s="1"/>
  <c r="C29" i="10"/>
  <c r="H35" i="4"/>
  <c r="H36" i="4" s="1"/>
  <c r="D33" i="6"/>
  <c r="D59" i="3"/>
  <c r="H27" i="4"/>
  <c r="H28" i="4" s="1"/>
  <c r="I25" i="4" s="1"/>
  <c r="E11" i="12"/>
  <c r="J25" i="11"/>
  <c r="K24" i="8"/>
  <c r="K26" i="8" s="1"/>
  <c r="J27" i="8"/>
  <c r="F15" i="8" l="1"/>
  <c r="F20" i="11"/>
  <c r="G9" i="8"/>
  <c r="G11" i="8" s="1"/>
  <c r="G26" i="12" s="1"/>
  <c r="G29" i="12" s="1"/>
  <c r="H30" i="4"/>
  <c r="H22" i="5" s="1"/>
  <c r="I33" i="4"/>
  <c r="H38" i="4"/>
  <c r="H23" i="5" s="1"/>
  <c r="K17" i="4"/>
  <c r="J22" i="4"/>
  <c r="J21" i="5" s="1"/>
  <c r="I19" i="3"/>
  <c r="I20" i="3" s="1"/>
  <c r="J17" i="3" s="1"/>
  <c r="K22" i="7"/>
  <c r="K23" i="7" s="1"/>
  <c r="J12" i="11"/>
  <c r="J24" i="7"/>
  <c r="J20" i="14" s="1"/>
  <c r="L9" i="7"/>
  <c r="L12" i="7" s="1"/>
  <c r="K19" i="7"/>
  <c r="C15" i="12"/>
  <c r="C42" i="6"/>
  <c r="C17" i="12" s="1"/>
  <c r="C19" i="14" s="1"/>
  <c r="E18" i="8"/>
  <c r="E19" i="8" s="1"/>
  <c r="E21" i="8" s="1"/>
  <c r="E28" i="10" s="1"/>
  <c r="E36" i="5"/>
  <c r="G11" i="4"/>
  <c r="G12" i="4" s="1"/>
  <c r="G14" i="4" s="1"/>
  <c r="G13" i="12"/>
  <c r="E18" i="11"/>
  <c r="E30" i="6"/>
  <c r="E22" i="10"/>
  <c r="E25" i="10"/>
  <c r="E27" i="10" s="1"/>
  <c r="D28" i="14"/>
  <c r="C9" i="12"/>
  <c r="C31" i="8"/>
  <c r="K25" i="11"/>
  <c r="K27" i="8"/>
  <c r="L24" i="8"/>
  <c r="L26" i="8" s="1"/>
  <c r="F37" i="5"/>
  <c r="F27" i="6" s="1"/>
  <c r="F29" i="6" s="1"/>
  <c r="F18" i="10"/>
  <c r="F20" i="10" s="1"/>
  <c r="F21" i="10" s="1"/>
  <c r="F35" i="5"/>
  <c r="D9" i="12"/>
  <c r="D31" i="8"/>
  <c r="D18" i="14" s="1"/>
  <c r="H43" i="4"/>
  <c r="H44" i="4" s="1"/>
  <c r="I27" i="4"/>
  <c r="I28" i="4" s="1"/>
  <c r="D21" i="14"/>
  <c r="D36" i="6"/>
  <c r="D60" i="3"/>
  <c r="E56" i="3"/>
  <c r="C16" i="12" l="1"/>
  <c r="I41" i="4"/>
  <c r="I43" i="4" s="1"/>
  <c r="I44" i="4" s="1"/>
  <c r="H46" i="4"/>
  <c r="H24" i="5" s="1"/>
  <c r="J25" i="4"/>
  <c r="I30" i="4"/>
  <c r="I22" i="5" s="1"/>
  <c r="G12" i="8"/>
  <c r="F18" i="8"/>
  <c r="F19" i="8" s="1"/>
  <c r="F21" i="8" s="1"/>
  <c r="F28" i="10" s="1"/>
  <c r="F36" i="5"/>
  <c r="E14" i="12"/>
  <c r="D29" i="14"/>
  <c r="F22" i="10"/>
  <c r="F25" i="10"/>
  <c r="F27" i="10" s="1"/>
  <c r="K12" i="11"/>
  <c r="K24" i="7"/>
  <c r="K20" i="14" s="1"/>
  <c r="L22" i="7"/>
  <c r="L23" i="7" s="1"/>
  <c r="M9" i="7"/>
  <c r="M12" i="7" s="1"/>
  <c r="L19" i="7"/>
  <c r="L25" i="11"/>
  <c r="M24" i="8"/>
  <c r="M26" i="8" s="1"/>
  <c r="L27" i="8"/>
  <c r="F30" i="6"/>
  <c r="F18" i="11"/>
  <c r="D37" i="6"/>
  <c r="D19" i="11"/>
  <c r="D22" i="11" s="1"/>
  <c r="D40" i="6"/>
  <c r="D41" i="6" s="1"/>
  <c r="G49" i="4"/>
  <c r="H9" i="4"/>
  <c r="J19" i="3"/>
  <c r="J20" i="3" s="1"/>
  <c r="K17" i="3" s="1"/>
  <c r="E33" i="6"/>
  <c r="E59" i="3"/>
  <c r="G50" i="4"/>
  <c r="G20" i="5"/>
  <c r="G25" i="5" s="1"/>
  <c r="C18" i="14"/>
  <c r="C34" i="8"/>
  <c r="C32" i="12"/>
  <c r="C34" i="12" s="1"/>
  <c r="C18" i="12"/>
  <c r="K19" i="4"/>
  <c r="K20" i="4" s="1"/>
  <c r="E29" i="10"/>
  <c r="I35" i="4"/>
  <c r="I36" i="4" s="1"/>
  <c r="J33" i="4" l="1"/>
  <c r="I38" i="4"/>
  <c r="I23" i="5" s="1"/>
  <c r="J41" i="4"/>
  <c r="I46" i="4"/>
  <c r="I24" i="5" s="1"/>
  <c r="L17" i="4"/>
  <c r="K22" i="4"/>
  <c r="K21" i="5" s="1"/>
  <c r="F29" i="10"/>
  <c r="E26" i="14"/>
  <c r="C40" i="14" s="1"/>
  <c r="C35" i="12"/>
  <c r="C9" i="11"/>
  <c r="C14" i="11" s="1"/>
  <c r="C32" i="11" s="1"/>
  <c r="C16" i="14" s="1"/>
  <c r="D33" i="12"/>
  <c r="D15" i="12"/>
  <c r="D16" i="12" s="1"/>
  <c r="D42" i="6"/>
  <c r="D17" i="12" s="1"/>
  <c r="D19" i="14" s="1"/>
  <c r="C35" i="8"/>
  <c r="C26" i="11"/>
  <c r="C28" i="11" s="1"/>
  <c r="C29" i="11" s="1"/>
  <c r="D30" i="8"/>
  <c r="D34" i="8" s="1"/>
  <c r="H11" i="4"/>
  <c r="H12" i="4" s="1"/>
  <c r="H14" i="4" s="1"/>
  <c r="E9" i="12"/>
  <c r="E31" i="8"/>
  <c r="E18" i="14" s="1"/>
  <c r="F14" i="12"/>
  <c r="E21" i="14"/>
  <c r="E36" i="6"/>
  <c r="E60" i="3"/>
  <c r="F56" i="3"/>
  <c r="N24" i="8"/>
  <c r="N26" i="8" s="1"/>
  <c r="M27" i="8"/>
  <c r="M25" i="11"/>
  <c r="G20" i="11"/>
  <c r="G15" i="8"/>
  <c r="H9" i="8"/>
  <c r="G14" i="8"/>
  <c r="G26" i="10" s="1"/>
  <c r="G18" i="10"/>
  <c r="G20" i="10" s="1"/>
  <c r="G21" i="10" s="1"/>
  <c r="G37" i="5"/>
  <c r="G27" i="6" s="1"/>
  <c r="G29" i="6" s="1"/>
  <c r="G35" i="5"/>
  <c r="K19" i="3"/>
  <c r="K20" i="3" s="1"/>
  <c r="L17" i="3" s="1"/>
  <c r="L12" i="11"/>
  <c r="M22" i="7"/>
  <c r="M23" i="7" s="1"/>
  <c r="L24" i="7"/>
  <c r="L20" i="14" s="1"/>
  <c r="M19" i="7"/>
  <c r="N9" i="7"/>
  <c r="N12" i="7" s="1"/>
  <c r="N19" i="7" s="1"/>
  <c r="J27" i="4"/>
  <c r="J28" i="4" s="1"/>
  <c r="K25" i="4" s="1"/>
  <c r="C17" i="14" l="1"/>
  <c r="H50" i="4"/>
  <c r="H20" i="5"/>
  <c r="H25" i="5" s="1"/>
  <c r="J30" i="4"/>
  <c r="J22" i="5" s="1"/>
  <c r="G18" i="8"/>
  <c r="G19" i="8" s="1"/>
  <c r="G21" i="8" s="1"/>
  <c r="G28" i="10" s="1"/>
  <c r="G36" i="5"/>
  <c r="E19" i="11"/>
  <c r="E22" i="11" s="1"/>
  <c r="E37" i="6"/>
  <c r="E40" i="6"/>
  <c r="E41" i="6" s="1"/>
  <c r="D32" i="12"/>
  <c r="D34" i="12" s="1"/>
  <c r="D18" i="12"/>
  <c r="G30" i="6"/>
  <c r="G18" i="11"/>
  <c r="D30" i="14"/>
  <c r="G22" i="10"/>
  <c r="G25" i="10"/>
  <c r="G27" i="10" s="1"/>
  <c r="F9" i="12"/>
  <c r="F31" i="8"/>
  <c r="F18" i="14" s="1"/>
  <c r="K27" i="4"/>
  <c r="K28" i="4" s="1"/>
  <c r="H11" i="8"/>
  <c r="H26" i="12" s="1"/>
  <c r="H29" i="12" s="1"/>
  <c r="N12" i="11"/>
  <c r="J43" i="4"/>
  <c r="J44" i="4" s="1"/>
  <c r="I9" i="4"/>
  <c r="H49" i="4"/>
  <c r="M12" i="11"/>
  <c r="N22" i="7"/>
  <c r="N23" i="7" s="1"/>
  <c r="N24" i="7" s="1"/>
  <c r="N20" i="14" s="1"/>
  <c r="M24" i="7"/>
  <c r="M20" i="14" s="1"/>
  <c r="L20" i="4"/>
  <c r="M17" i="4" s="1"/>
  <c r="L19" i="4"/>
  <c r="D26" i="11"/>
  <c r="D28" i="11" s="1"/>
  <c r="D29" i="11" s="1"/>
  <c r="D35" i="8"/>
  <c r="E30" i="8"/>
  <c r="E34" i="8" s="1"/>
  <c r="F59" i="3"/>
  <c r="F33" i="6"/>
  <c r="N25" i="11"/>
  <c r="N27" i="8"/>
  <c r="L19" i="3"/>
  <c r="L20" i="3" s="1"/>
  <c r="M17" i="3" s="1"/>
  <c r="J35" i="4"/>
  <c r="J36" i="4" s="1"/>
  <c r="K33" i="4" s="1"/>
  <c r="O20" i="14" l="1"/>
  <c r="E27" i="14"/>
  <c r="C41" i="14" s="1"/>
  <c r="D35" i="12"/>
  <c r="E33" i="12"/>
  <c r="D9" i="11"/>
  <c r="D14" i="11" s="1"/>
  <c r="D32" i="11" s="1"/>
  <c r="D16" i="14" s="1"/>
  <c r="K41" i="4"/>
  <c r="J46" i="4"/>
  <c r="J24" i="5" s="1"/>
  <c r="M19" i="3"/>
  <c r="M20" i="3" s="1"/>
  <c r="N17" i="3" s="1"/>
  <c r="L25" i="4"/>
  <c r="K30" i="4"/>
  <c r="K22" i="5" s="1"/>
  <c r="M19" i="4"/>
  <c r="M20" i="4" s="1"/>
  <c r="N17" i="4" s="1"/>
  <c r="G14" i="12"/>
  <c r="E15" i="12"/>
  <c r="E16" i="12" s="1"/>
  <c r="E42" i="6"/>
  <c r="E17" i="12" s="1"/>
  <c r="E19" i="14" s="1"/>
  <c r="I11" i="4"/>
  <c r="I12" i="4" s="1"/>
  <c r="F21" i="14"/>
  <c r="F36" i="6"/>
  <c r="G56" i="3"/>
  <c r="F60" i="3"/>
  <c r="G29" i="10"/>
  <c r="K35" i="4"/>
  <c r="K36" i="4" s="1"/>
  <c r="H18" i="10"/>
  <c r="H20" i="10" s="1"/>
  <c r="H21" i="10" s="1"/>
  <c r="H37" i="5"/>
  <c r="H27" i="6" s="1"/>
  <c r="H29" i="6" s="1"/>
  <c r="H35" i="5"/>
  <c r="E26" i="11"/>
  <c r="E28" i="11" s="1"/>
  <c r="E29" i="11" s="1"/>
  <c r="E35" i="8"/>
  <c r="F30" i="8"/>
  <c r="F34" i="8" s="1"/>
  <c r="L22" i="4"/>
  <c r="L21" i="5" s="1"/>
  <c r="J38" i="4"/>
  <c r="J23" i="5" s="1"/>
  <c r="H12" i="8"/>
  <c r="L33" i="4" l="1"/>
  <c r="K38" i="4"/>
  <c r="K23" i="5" s="1"/>
  <c r="J9" i="4"/>
  <c r="I49" i="4"/>
  <c r="I14" i="4"/>
  <c r="L27" i="4"/>
  <c r="L28" i="4" s="1"/>
  <c r="M22" i="4"/>
  <c r="M21" i="5" s="1"/>
  <c r="N19" i="3"/>
  <c r="N20" i="3" s="1"/>
  <c r="C10" i="14" s="1"/>
  <c r="H30" i="6"/>
  <c r="H18" i="11"/>
  <c r="F19" i="11"/>
  <c r="F22" i="11" s="1"/>
  <c r="F37" i="6"/>
  <c r="F40" i="6"/>
  <c r="F41" i="6" s="1"/>
  <c r="H18" i="8"/>
  <c r="H36" i="5"/>
  <c r="D31" i="14"/>
  <c r="H22" i="10"/>
  <c r="H25" i="10"/>
  <c r="K43" i="4"/>
  <c r="K44" i="4" s="1"/>
  <c r="L41" i="4" s="1"/>
  <c r="L35" i="4"/>
  <c r="L36" i="4" s="1"/>
  <c r="D17" i="14"/>
  <c r="N19" i="4"/>
  <c r="N20" i="4" s="1"/>
  <c r="N22" i="4" s="1"/>
  <c r="N21" i="5" s="1"/>
  <c r="G30" i="8"/>
  <c r="G34" i="8" s="1"/>
  <c r="F26" i="11"/>
  <c r="F28" i="11" s="1"/>
  <c r="F35" i="8"/>
  <c r="E18" i="12"/>
  <c r="E32" i="12"/>
  <c r="E34" i="12" s="1"/>
  <c r="G9" i="12"/>
  <c r="G31" i="8"/>
  <c r="G18" i="14" s="1"/>
  <c r="H20" i="11"/>
  <c r="I9" i="8"/>
  <c r="H15" i="8"/>
  <c r="H14" i="8"/>
  <c r="H26" i="10" s="1"/>
  <c r="G33" i="6"/>
  <c r="G59" i="3"/>
  <c r="M25" i="4" l="1"/>
  <c r="L30" i="4"/>
  <c r="L22" i="5" s="1"/>
  <c r="H27" i="10"/>
  <c r="F29" i="11"/>
  <c r="M33" i="4"/>
  <c r="L38" i="4"/>
  <c r="L23" i="5" s="1"/>
  <c r="E35" i="12"/>
  <c r="E9" i="11"/>
  <c r="E14" i="11" s="1"/>
  <c r="E32" i="11" s="1"/>
  <c r="E16" i="14" s="1"/>
  <c r="F33" i="12"/>
  <c r="E28" i="14"/>
  <c r="C42" i="14" s="1"/>
  <c r="L43" i="4"/>
  <c r="L44" i="4" s="1"/>
  <c r="F15" i="12"/>
  <c r="F16" i="12" s="1"/>
  <c r="F42" i="6"/>
  <c r="F17" i="12" s="1"/>
  <c r="F19" i="14" s="1"/>
  <c r="K46" i="4"/>
  <c r="K24" i="5" s="1"/>
  <c r="H14" i="12"/>
  <c r="G35" i="8"/>
  <c r="G26" i="11"/>
  <c r="G28" i="11" s="1"/>
  <c r="H30" i="8"/>
  <c r="G21" i="14"/>
  <c r="G36" i="6"/>
  <c r="H56" i="3"/>
  <c r="G60" i="3"/>
  <c r="M27" i="4"/>
  <c r="M28" i="4" s="1"/>
  <c r="N25" i="4" s="1"/>
  <c r="I50" i="4"/>
  <c r="I20" i="5"/>
  <c r="I25" i="5" s="1"/>
  <c r="H19" i="8"/>
  <c r="H21" i="8" s="1"/>
  <c r="H28" i="10" s="1"/>
  <c r="I11" i="8"/>
  <c r="I26" i="12" s="1"/>
  <c r="I29" i="12" s="1"/>
  <c r="J11" i="4"/>
  <c r="J12" i="4" s="1"/>
  <c r="J14" i="4" s="1"/>
  <c r="M41" i="4" l="1"/>
  <c r="L46" i="4"/>
  <c r="L24" i="5" s="1"/>
  <c r="H29" i="10"/>
  <c r="H9" i="12" s="1"/>
  <c r="E17" i="14"/>
  <c r="I12" i="8"/>
  <c r="I14" i="8" s="1"/>
  <c r="I26" i="10" s="1"/>
  <c r="J20" i="5"/>
  <c r="J25" i="5" s="1"/>
  <c r="J50" i="4"/>
  <c r="N27" i="4"/>
  <c r="N28" i="4" s="1"/>
  <c r="N30" i="4" s="1"/>
  <c r="N22" i="5" s="1"/>
  <c r="F18" i="12"/>
  <c r="F32" i="12"/>
  <c r="F34" i="12" s="1"/>
  <c r="H33" i="6"/>
  <c r="H59" i="3"/>
  <c r="M43" i="4"/>
  <c r="M44" i="4" s="1"/>
  <c r="M30" i="4"/>
  <c r="M22" i="5" s="1"/>
  <c r="K9" i="4"/>
  <c r="J49" i="4"/>
  <c r="G19" i="11"/>
  <c r="G22" i="11" s="1"/>
  <c r="G29" i="11" s="1"/>
  <c r="G37" i="6"/>
  <c r="G40" i="6"/>
  <c r="G41" i="6" s="1"/>
  <c r="I18" i="10"/>
  <c r="I20" i="10" s="1"/>
  <c r="I21" i="10" s="1"/>
  <c r="I37" i="5"/>
  <c r="I27" i="6" s="1"/>
  <c r="I29" i="6" s="1"/>
  <c r="I35" i="5"/>
  <c r="M35" i="4"/>
  <c r="M36" i="4" s="1"/>
  <c r="J9" i="8" l="1"/>
  <c r="I20" i="11"/>
  <c r="I15" i="8"/>
  <c r="N33" i="4"/>
  <c r="N35" i="4" s="1"/>
  <c r="N36" i="4" s="1"/>
  <c r="N38" i="4" s="1"/>
  <c r="N23" i="5" s="1"/>
  <c r="M38" i="4"/>
  <c r="M23" i="5" s="1"/>
  <c r="H31" i="8"/>
  <c r="H18" i="14" s="1"/>
  <c r="H34" i="8"/>
  <c r="N41" i="4"/>
  <c r="M46" i="4"/>
  <c r="M24" i="5" s="1"/>
  <c r="F35" i="12"/>
  <c r="F9" i="11"/>
  <c r="F14" i="11" s="1"/>
  <c r="F32" i="11" s="1"/>
  <c r="F16" i="14" s="1"/>
  <c r="E29" i="14"/>
  <c r="C43" i="14" s="1"/>
  <c r="G33" i="12"/>
  <c r="I18" i="11"/>
  <c r="I30" i="6"/>
  <c r="D32" i="14"/>
  <c r="I25" i="10"/>
  <c r="I27" i="10" s="1"/>
  <c r="I22" i="10"/>
  <c r="H21" i="14"/>
  <c r="H36" i="6"/>
  <c r="I56" i="3"/>
  <c r="H60" i="3"/>
  <c r="J11" i="8"/>
  <c r="J26" i="12" s="1"/>
  <c r="J29" i="12" s="1"/>
  <c r="I30" i="8"/>
  <c r="H26" i="11"/>
  <c r="H28" i="11" s="1"/>
  <c r="H35" i="8"/>
  <c r="G15" i="12"/>
  <c r="G16" i="12" s="1"/>
  <c r="G42" i="6"/>
  <c r="G17" i="12" s="1"/>
  <c r="G19" i="14" s="1"/>
  <c r="J18" i="10"/>
  <c r="J20" i="10" s="1"/>
  <c r="J21" i="10" s="1"/>
  <c r="J37" i="5"/>
  <c r="J27" i="6" s="1"/>
  <c r="J29" i="6" s="1"/>
  <c r="J35" i="5"/>
  <c r="K11" i="4"/>
  <c r="K12" i="4" s="1"/>
  <c r="I18" i="8"/>
  <c r="I19" i="8" s="1"/>
  <c r="I21" i="8" s="1"/>
  <c r="I28" i="10" s="1"/>
  <c r="I36" i="5"/>
  <c r="L9" i="4" l="1"/>
  <c r="K49" i="4"/>
  <c r="K14" i="4"/>
  <c r="J18" i="8"/>
  <c r="J36" i="5"/>
  <c r="J30" i="6"/>
  <c r="J18" i="11"/>
  <c r="I29" i="10"/>
  <c r="I14" i="12"/>
  <c r="G18" i="12"/>
  <c r="G32" i="12"/>
  <c r="G34" i="12" s="1"/>
  <c r="D33" i="14"/>
  <c r="J22" i="10"/>
  <c r="J25" i="10"/>
  <c r="F17" i="14"/>
  <c r="J12" i="8"/>
  <c r="I33" i="6"/>
  <c r="I59" i="3"/>
  <c r="H19" i="11"/>
  <c r="H22" i="11" s="1"/>
  <c r="H29" i="11" s="1"/>
  <c r="H37" i="6"/>
  <c r="H40" i="6"/>
  <c r="H41" i="6" s="1"/>
  <c r="N43" i="4"/>
  <c r="N44" i="4" s="1"/>
  <c r="N46" i="4" s="1"/>
  <c r="N24" i="5" s="1"/>
  <c r="E30" i="14" l="1"/>
  <c r="C44" i="14" s="1"/>
  <c r="G35" i="12"/>
  <c r="H33" i="12"/>
  <c r="G9" i="11"/>
  <c r="G14" i="11" s="1"/>
  <c r="G32" i="11" s="1"/>
  <c r="G16" i="14" s="1"/>
  <c r="I9" i="12"/>
  <c r="I31" i="8"/>
  <c r="J20" i="11"/>
  <c r="J15" i="8"/>
  <c r="K9" i="8"/>
  <c r="J14" i="8"/>
  <c r="J26" i="10" s="1"/>
  <c r="J27" i="10" s="1"/>
  <c r="H15" i="12"/>
  <c r="H16" i="12" s="1"/>
  <c r="H42" i="6"/>
  <c r="H17" i="12" s="1"/>
  <c r="H19" i="14" s="1"/>
  <c r="J14" i="12"/>
  <c r="I21" i="14"/>
  <c r="I36" i="6"/>
  <c r="J56" i="3"/>
  <c r="I60" i="3"/>
  <c r="K20" i="5"/>
  <c r="K25" i="5" s="1"/>
  <c r="K50" i="4"/>
  <c r="L11" i="4"/>
  <c r="L12" i="4" s="1"/>
  <c r="L49" i="4" l="1"/>
  <c r="M9" i="4"/>
  <c r="L14" i="4"/>
  <c r="K18" i="10"/>
  <c r="K20" i="10" s="1"/>
  <c r="K21" i="10" s="1"/>
  <c r="K37" i="5"/>
  <c r="K27" i="6" s="1"/>
  <c r="K29" i="6" s="1"/>
  <c r="K35" i="5"/>
  <c r="K11" i="8"/>
  <c r="K26" i="12" s="1"/>
  <c r="K29" i="12" s="1"/>
  <c r="J33" i="6"/>
  <c r="J59" i="3"/>
  <c r="I18" i="14"/>
  <c r="I34" i="8"/>
  <c r="I19" i="11"/>
  <c r="I22" i="11" s="1"/>
  <c r="I37" i="6"/>
  <c r="I40" i="6"/>
  <c r="I41" i="6" s="1"/>
  <c r="H18" i="12"/>
  <c r="H32" i="12"/>
  <c r="H34" i="12" s="1"/>
  <c r="G17" i="14"/>
  <c r="J19" i="8"/>
  <c r="J21" i="8" s="1"/>
  <c r="J28" i="10" s="1"/>
  <c r="J29" i="10" s="1"/>
  <c r="J31" i="8" l="1"/>
  <c r="J18" i="14" s="1"/>
  <c r="J9" i="12"/>
  <c r="J21" i="14"/>
  <c r="J60" i="3"/>
  <c r="J36" i="6"/>
  <c r="K56" i="3"/>
  <c r="E31" i="14"/>
  <c r="C45" i="14" s="1"/>
  <c r="I33" i="12"/>
  <c r="H9" i="11"/>
  <c r="H14" i="11" s="1"/>
  <c r="H32" i="11" s="1"/>
  <c r="H16" i="14" s="1"/>
  <c r="H35" i="12"/>
  <c r="K18" i="8"/>
  <c r="K36" i="5"/>
  <c r="K18" i="11"/>
  <c r="K30" i="6"/>
  <c r="D34" i="14"/>
  <c r="K22" i="10"/>
  <c r="K25" i="10"/>
  <c r="K12" i="8"/>
  <c r="I15" i="12"/>
  <c r="I16" i="12" s="1"/>
  <c r="I42" i="6"/>
  <c r="I17" i="12" s="1"/>
  <c r="I19" i="14" s="1"/>
  <c r="I26" i="11"/>
  <c r="I28" i="11" s="1"/>
  <c r="I29" i="11" s="1"/>
  <c r="J30" i="8"/>
  <c r="I35" i="8"/>
  <c r="L20" i="5"/>
  <c r="L25" i="5" s="1"/>
  <c r="L50" i="4"/>
  <c r="M11" i="4"/>
  <c r="M12" i="4" s="1"/>
  <c r="J34" i="8" l="1"/>
  <c r="M49" i="4"/>
  <c r="N9" i="4"/>
  <c r="L18" i="10"/>
  <c r="L20" i="10" s="1"/>
  <c r="L21" i="10" s="1"/>
  <c r="L37" i="5"/>
  <c r="L27" i="6" s="1"/>
  <c r="L29" i="6" s="1"/>
  <c r="L35" i="5"/>
  <c r="J35" i="8"/>
  <c r="K30" i="8"/>
  <c r="J26" i="11"/>
  <c r="J28" i="11" s="1"/>
  <c r="I32" i="12"/>
  <c r="I34" i="12" s="1"/>
  <c r="I18" i="12"/>
  <c r="K20" i="11"/>
  <c r="L9" i="8"/>
  <c r="K15" i="8"/>
  <c r="K14" i="8"/>
  <c r="K26" i="10" s="1"/>
  <c r="K27" i="10" s="1"/>
  <c r="H17" i="14"/>
  <c r="K33" i="6"/>
  <c r="K59" i="3"/>
  <c r="J19" i="11"/>
  <c r="J22" i="11" s="1"/>
  <c r="J37" i="6"/>
  <c r="J40" i="6"/>
  <c r="J41" i="6" s="1"/>
  <c r="M14" i="4"/>
  <c r="K14" i="12"/>
  <c r="K19" i="8" l="1"/>
  <c r="K21" i="8" s="1"/>
  <c r="K28" i="10" s="1"/>
  <c r="K29" i="10" s="1"/>
  <c r="J29" i="11"/>
  <c r="J33" i="12"/>
  <c r="E32" i="14"/>
  <c r="C46" i="14" s="1"/>
  <c r="I9" i="11"/>
  <c r="I14" i="11" s="1"/>
  <c r="I32" i="11" s="1"/>
  <c r="I16" i="14" s="1"/>
  <c r="I35" i="12"/>
  <c r="L11" i="8"/>
  <c r="L26" i="12" s="1"/>
  <c r="L29" i="12" s="1"/>
  <c r="J15" i="12"/>
  <c r="J16" i="12" s="1"/>
  <c r="J42" i="6"/>
  <c r="J17" i="12" s="1"/>
  <c r="J19" i="14" s="1"/>
  <c r="K21" i="14"/>
  <c r="K36" i="6"/>
  <c r="L56" i="3"/>
  <c r="K60" i="3"/>
  <c r="M20" i="5"/>
  <c r="M25" i="5" s="1"/>
  <c r="M50" i="4"/>
  <c r="L18" i="8"/>
  <c r="L36" i="5"/>
  <c r="D35" i="14"/>
  <c r="L22" i="10"/>
  <c r="L25" i="10"/>
  <c r="N11" i="4"/>
  <c r="N12" i="4" s="1"/>
  <c r="N49" i="4" s="1"/>
  <c r="C11" i="14" s="1"/>
  <c r="L18" i="11"/>
  <c r="L30" i="6"/>
  <c r="K9" i="12" l="1"/>
  <c r="K31" i="8"/>
  <c r="L12" i="8"/>
  <c r="L14" i="8" s="1"/>
  <c r="L26" i="10" s="1"/>
  <c r="L27" i="10" s="1"/>
  <c r="L33" i="6"/>
  <c r="L59" i="3"/>
  <c r="N14" i="4"/>
  <c r="K37" i="6"/>
  <c r="K19" i="11"/>
  <c r="K22" i="11" s="1"/>
  <c r="K40" i="6"/>
  <c r="K41" i="6" s="1"/>
  <c r="J18" i="12"/>
  <c r="J32" i="12"/>
  <c r="J34" i="12" s="1"/>
  <c r="M18" i="10"/>
  <c r="M20" i="10" s="1"/>
  <c r="M21" i="10" s="1"/>
  <c r="M37" i="5"/>
  <c r="M27" i="6" s="1"/>
  <c r="M29" i="6" s="1"/>
  <c r="M35" i="5"/>
  <c r="I17" i="14"/>
  <c r="L14" i="12"/>
  <c r="L19" i="8" l="1"/>
  <c r="L21" i="8" s="1"/>
  <c r="L28" i="10" s="1"/>
  <c r="L29" i="10" s="1"/>
  <c r="L31" i="8" s="1"/>
  <c r="L18" i="14" s="1"/>
  <c r="L15" i="8"/>
  <c r="L20" i="11"/>
  <c r="M9" i="8"/>
  <c r="K18" i="14"/>
  <c r="K34" i="8"/>
  <c r="K33" i="12"/>
  <c r="E33" i="14"/>
  <c r="C47" i="14" s="1"/>
  <c r="J35" i="12"/>
  <c r="J9" i="11"/>
  <c r="J14" i="11" s="1"/>
  <c r="J32" i="11" s="1"/>
  <c r="J16" i="14" s="1"/>
  <c r="D36" i="14"/>
  <c r="M22" i="10"/>
  <c r="M25" i="10"/>
  <c r="K15" i="12"/>
  <c r="K16" i="12" s="1"/>
  <c r="K42" i="6"/>
  <c r="K17" i="12" s="1"/>
  <c r="K19" i="14" s="1"/>
  <c r="N50" i="4"/>
  <c r="N20" i="5"/>
  <c r="N25" i="5" s="1"/>
  <c r="L21" i="14"/>
  <c r="L36" i="6"/>
  <c r="M56" i="3"/>
  <c r="L60" i="3"/>
  <c r="M36" i="5"/>
  <c r="M18" i="8"/>
  <c r="M11" i="8"/>
  <c r="M26" i="12" s="1"/>
  <c r="M29" i="12" s="1"/>
  <c r="M18" i="11"/>
  <c r="M30" i="6"/>
  <c r="L9" i="12" l="1"/>
  <c r="K35" i="8"/>
  <c r="K26" i="11"/>
  <c r="K28" i="11" s="1"/>
  <c r="K29" i="11" s="1"/>
  <c r="L30" i="8"/>
  <c r="L34" i="8" s="1"/>
  <c r="M30" i="8" s="1"/>
  <c r="M14" i="12"/>
  <c r="L26" i="11"/>
  <c r="L28" i="11" s="1"/>
  <c r="K18" i="12"/>
  <c r="K32" i="12"/>
  <c r="K34" i="12" s="1"/>
  <c r="J17" i="14"/>
  <c r="M12" i="8"/>
  <c r="M33" i="6"/>
  <c r="M59" i="3"/>
  <c r="L37" i="6"/>
  <c r="L19" i="11"/>
  <c r="L22" i="11" s="1"/>
  <c r="L40" i="6"/>
  <c r="L41" i="6" s="1"/>
  <c r="N18" i="10"/>
  <c r="N20" i="10" s="1"/>
  <c r="N21" i="10" s="1"/>
  <c r="N37" i="5"/>
  <c r="N27" i="6" s="1"/>
  <c r="N29" i="6" s="1"/>
  <c r="N35" i="5"/>
  <c r="L35" i="8" l="1"/>
  <c r="L29" i="11"/>
  <c r="L33" i="12"/>
  <c r="E34" i="14"/>
  <c r="C48" i="14" s="1"/>
  <c r="K35" i="12"/>
  <c r="K9" i="11"/>
  <c r="K14" i="11" s="1"/>
  <c r="K32" i="11" s="1"/>
  <c r="K16" i="14" s="1"/>
  <c r="M15" i="8"/>
  <c r="M20" i="11"/>
  <c r="N9" i="8"/>
  <c r="M14" i="8"/>
  <c r="N36" i="5"/>
  <c r="N18" i="8"/>
  <c r="D37" i="14"/>
  <c r="N22" i="10"/>
  <c r="N25" i="10"/>
  <c r="C8" i="14"/>
  <c r="N18" i="11"/>
  <c r="N30" i="6"/>
  <c r="L15" i="12"/>
  <c r="L16" i="12" s="1"/>
  <c r="L42" i="6"/>
  <c r="L17" i="12" s="1"/>
  <c r="L19" i="14" s="1"/>
  <c r="M21" i="14"/>
  <c r="M36" i="6"/>
  <c r="N56" i="3"/>
  <c r="M60" i="3"/>
  <c r="M19" i="11" l="1"/>
  <c r="M22" i="11" s="1"/>
  <c r="M37" i="6"/>
  <c r="M40" i="6"/>
  <c r="M41" i="6" s="1"/>
  <c r="N59" i="3"/>
  <c r="N33" i="6"/>
  <c r="L18" i="12"/>
  <c r="L32" i="12"/>
  <c r="L34" i="12" s="1"/>
  <c r="M26" i="10"/>
  <c r="M27" i="10" s="1"/>
  <c r="M19" i="8"/>
  <c r="M21" i="8" s="1"/>
  <c r="M28" i="10" s="1"/>
  <c r="N11" i="8"/>
  <c r="N26" i="12" s="1"/>
  <c r="N29" i="12" s="1"/>
  <c r="K17" i="14"/>
  <c r="N14" i="12"/>
  <c r="N12" i="8" l="1"/>
  <c r="N14" i="8" s="1"/>
  <c r="N26" i="10" s="1"/>
  <c r="N27" i="10" s="1"/>
  <c r="E35" i="14"/>
  <c r="C49" i="14" s="1"/>
  <c r="L35" i="12"/>
  <c r="M33" i="12"/>
  <c r="L9" i="11"/>
  <c r="L14" i="11" s="1"/>
  <c r="L32" i="11" s="1"/>
  <c r="L16" i="14" s="1"/>
  <c r="M29" i="10"/>
  <c r="N21" i="14"/>
  <c r="O21" i="14" s="1"/>
  <c r="N36" i="6"/>
  <c r="N60" i="3"/>
  <c r="N20" i="11"/>
  <c r="N15" i="8"/>
  <c r="M15" i="12"/>
  <c r="M42" i="6"/>
  <c r="M17" i="12" s="1"/>
  <c r="M19" i="14" s="1"/>
  <c r="N19" i="8"/>
  <c r="N21" i="8" s="1"/>
  <c r="N28" i="10" s="1"/>
  <c r="N29" i="10" l="1"/>
  <c r="N9" i="12"/>
  <c r="N31" i="8"/>
  <c r="N18" i="14" s="1"/>
  <c r="N19" i="11"/>
  <c r="N22" i="11" s="1"/>
  <c r="N37" i="6"/>
  <c r="N40" i="6"/>
  <c r="N41" i="6" s="1"/>
  <c r="L17" i="14"/>
  <c r="M9" i="12"/>
  <c r="M16" i="12" s="1"/>
  <c r="M31" i="8"/>
  <c r="M18" i="14" l="1"/>
  <c r="M34" i="8"/>
  <c r="M32" i="12"/>
  <c r="M34" i="12" s="1"/>
  <c r="M18" i="12"/>
  <c r="N15" i="12"/>
  <c r="N16" i="12" s="1"/>
  <c r="N42" i="6"/>
  <c r="N17" i="12" s="1"/>
  <c r="N19" i="14" s="1"/>
  <c r="O19" i="14" s="1"/>
  <c r="O18" i="14"/>
  <c r="N32" i="12" l="1"/>
  <c r="N18" i="12"/>
  <c r="E36" i="14"/>
  <c r="C50" i="14" s="1"/>
  <c r="N33" i="12"/>
  <c r="N34" i="12" s="1"/>
  <c r="M35" i="12"/>
  <c r="M9" i="11"/>
  <c r="M14" i="11" s="1"/>
  <c r="M26" i="11"/>
  <c r="M28" i="11" s="1"/>
  <c r="M29" i="11" s="1"/>
  <c r="M35" i="8"/>
  <c r="N30" i="8"/>
  <c r="N34" i="8" s="1"/>
  <c r="N26" i="11" l="1"/>
  <c r="N28" i="11" s="1"/>
  <c r="N29" i="11" s="1"/>
  <c r="N35" i="8"/>
  <c r="C9" i="14"/>
  <c r="N35" i="12"/>
  <c r="E37" i="14"/>
  <c r="C51" i="14" s="1"/>
  <c r="N9" i="11"/>
  <c r="N14" i="11" s="1"/>
  <c r="M32" i="11"/>
  <c r="M16" i="14" s="1"/>
  <c r="M17" i="14"/>
  <c r="N32" i="11" l="1"/>
  <c r="N16" i="14" s="1"/>
  <c r="O16" i="14" s="1"/>
  <c r="C6" i="14" s="1"/>
  <c r="C13" i="1" s="1"/>
  <c r="N17" i="14"/>
  <c r="O17" i="14" s="1"/>
</calcChain>
</file>

<file path=xl/sharedStrings.xml><?xml version="1.0" encoding="utf-8"?>
<sst xmlns="http://schemas.openxmlformats.org/spreadsheetml/2006/main" count="592" uniqueCount="414">
  <si>
    <t>Integrated Three-Statement Forecast</t>
  </si>
  <si>
    <t>Synthetic illustrative data | monthly forecast | finance_standard authoring profile</t>
  </si>
  <si>
    <t>Model purpose</t>
  </si>
  <si>
    <t>Demonstrate a discoverable, driver-based, integrated forecast without production-model complexity.</t>
  </si>
  <si>
    <t>Version</t>
  </si>
  <si>
    <t>Visual diversity r3 | 2026-07-08</t>
  </si>
  <si>
    <t>Lifecycle</t>
  </si>
  <si>
    <t>Synthetic illustrative template data</t>
  </si>
  <si>
    <t>Scenario</t>
  </si>
  <si>
    <t>Forecast horizon</t>
  </si>
  <si>
    <t>Jan–Dec 2027</t>
  </si>
  <si>
    <t>Units</t>
  </si>
  <si>
    <t>$000s except customers, FTE, rates, days, and months</t>
  </si>
  <si>
    <t>Formula profile</t>
  </si>
  <si>
    <t>finance_standard</t>
  </si>
  <si>
    <t>Model status</t>
  </si>
  <si>
    <t>Privacy</t>
  </si>
  <si>
    <t>Synthetic and generic; no private-model values, labels, customer information, or proprietary formulas.</t>
  </si>
  <si>
    <t>HOW TO USE</t>
  </si>
  <si>
    <t>Choose Base, Growth, or Downside on Assumptions.</t>
  </si>
  <si>
    <t>Edit only pale-yellow assumptions. Forecast formulas and statements update automatically.</t>
  </si>
  <si>
    <t>Trace revenue from productive salespeople through bookings, cohorts, billings, deferred revenue, and recognized revenue.</t>
  </si>
  <si>
    <t>Review the three statements and required checks. PASS means the named local controls tie; it does not imply owner acceptance.</t>
  </si>
  <si>
    <t>Use the management summary for decisions; use schedules for audit and refresh.</t>
  </si>
  <si>
    <t>Do not add a cash, debt, equity, deferred-revenue, or other balancing plug. Fix the owning schedule if a check fails.</t>
  </si>
  <si>
    <t>MODEL SPINE</t>
  </si>
  <si>
    <t>Capacity</t>
  </si>
  <si>
    <t>Productive reps × productivity</t>
  </si>
  <si>
    <t>Bookings</t>
  </si>
  <si>
    <t>New logos × ACV</t>
  </si>
  <si>
    <t>Cohorts</t>
  </si>
  <si>
    <t>Retention + expansion + price</t>
  </si>
  <si>
    <t>Revenue</t>
  </si>
  <si>
    <t>Subscription + services</t>
  </si>
  <si>
    <t>Recognized by cohort</t>
  </si>
  <si>
    <t>Billings</t>
  </si>
  <si>
    <t>Contracted cash timing</t>
  </si>
  <si>
    <t>Deferred</t>
  </si>
  <si>
    <t>Billings less revenue</t>
  </si>
  <si>
    <t>AR</t>
  </si>
  <si>
    <t>Revenue × DSO</t>
  </si>
  <si>
    <t>People</t>
  </si>
  <si>
    <t>FTE roll-forward</t>
  </si>
  <si>
    <t>Payroll</t>
  </si>
  <si>
    <t>Average FTE × compensation</t>
  </si>
  <si>
    <t>Non-HC</t>
  </si>
  <si>
    <t>Departmental inputs</t>
  </si>
  <si>
    <t>EBITDA</t>
  </si>
  <si>
    <t>Revenue less costs</t>
  </si>
  <si>
    <t>Assets</t>
  </si>
  <si>
    <t>Capex and D&amp;A</t>
  </si>
  <si>
    <t>Liabilities</t>
  </si>
  <si>
    <t>WC and debt schedules</t>
  </si>
  <si>
    <t>Equity</t>
  </si>
  <si>
    <t>Retained earnings</t>
  </si>
  <si>
    <t>Cash flow</t>
  </si>
  <si>
    <t>Indirect method</t>
  </si>
  <si>
    <t>Statements</t>
  </si>
  <si>
    <t>IS</t>
  </si>
  <si>
    <t>BS</t>
  </si>
  <si>
    <t>CF</t>
  </si>
  <si>
    <t>Controls</t>
  </si>
  <si>
    <t>Cash + balance ties</t>
  </si>
  <si>
    <t>Boundary</t>
  </si>
  <si>
    <t>Local template</t>
  </si>
  <si>
    <t>Excel</t>
  </si>
  <si>
    <t>Separate native QA</t>
  </si>
  <si>
    <t>Sheets</t>
  </si>
  <si>
    <t>Separate conversion QA</t>
  </si>
  <si>
    <t>Default</t>
  </si>
  <si>
    <t>Not approved/published</t>
  </si>
  <si>
    <t>Forecast Assumptions</t>
  </si>
  <si>
    <t>Selected scenario</t>
  </si>
  <si>
    <t>Base</t>
  </si>
  <si>
    <t>Edit pale-yellow cells only</t>
  </si>
  <si>
    <t>Driver</t>
  </si>
  <si>
    <t>Growth</t>
  </si>
  <si>
    <t>Downside</t>
  </si>
  <si>
    <t>Selected</t>
  </si>
  <si>
    <t>Definition / policy</t>
  </si>
  <si>
    <t>Opening customers</t>
  </si>
  <si>
    <t>customers</t>
  </si>
  <si>
    <t>Synthetic opening population</t>
  </si>
  <si>
    <t>Opening subscription ARR</t>
  </si>
  <si>
    <t>$000</t>
  </si>
  <si>
    <t>Annualized recurring revenue</t>
  </si>
  <si>
    <t>Starting productive salespeople</t>
  </si>
  <si>
    <t>FTE</t>
  </si>
  <si>
    <t>Opening productive capacity</t>
  </si>
  <si>
    <t>Monthly sales hires</t>
  </si>
  <si>
    <t>New sales hires before ramp</t>
  </si>
  <si>
    <t>Sales productivity / productive rep / month</t>
  </si>
  <si>
    <t>$000 bookings</t>
  </si>
  <si>
    <t>Operational capacity driver</t>
  </si>
  <si>
    <t>Average contract value (ACV)</t>
  </si>
  <si>
    <t>Annual contract value per new logo</t>
  </si>
  <si>
    <t>Implementation lag</t>
  </si>
  <si>
    <t>months</t>
  </si>
  <si>
    <t>Months from booking to revenue start</t>
  </si>
  <si>
    <t>Monthly logo retention</t>
  </si>
  <si>
    <t>%</t>
  </si>
  <si>
    <t>Periodic monthly retention</t>
  </si>
  <si>
    <t>Monthly gross revenue retention</t>
  </si>
  <si>
    <t>Periodic monthly GRR</t>
  </si>
  <si>
    <t>Monthly expansion</t>
  </si>
  <si>
    <t>Periodic monthly expansion</t>
  </si>
  <si>
    <t>Monthly price increase</t>
  </si>
  <si>
    <t>Periodic price realization</t>
  </si>
  <si>
    <t>Services revenue / new logo</t>
  </si>
  <si>
    <t>Recognized at delivery</t>
  </si>
  <si>
    <t>Subscription cost of revenue</t>
  </si>
  <si>
    <t>% revenue</t>
  </si>
  <si>
    <t>Hosting and support</t>
  </si>
  <si>
    <t>Services cost of revenue</t>
  </si>
  <si>
    <t>Implementation delivery</t>
  </si>
  <si>
    <t>R&amp;D opening FTE</t>
  </si>
  <si>
    <t>Opening headcount</t>
  </si>
  <si>
    <t>R&amp;D monthly hires</t>
  </si>
  <si>
    <t>Hiring plan</t>
  </si>
  <si>
    <t>Marketing opening FTE</t>
  </si>
  <si>
    <t>Marketing monthly hires</t>
  </si>
  <si>
    <t>G&amp;A opening FTE</t>
  </si>
  <si>
    <t>G&amp;A monthly hires</t>
  </si>
  <si>
    <t>Customer Success opening FTE</t>
  </si>
  <si>
    <t>Customer Success monthly hires</t>
  </si>
  <si>
    <t>Monthly headcount attrition</t>
  </si>
  <si>
    <t>Periodic attrition</t>
  </si>
  <si>
    <t>Sales annual salary / FTE</t>
  </si>
  <si>
    <t>Cash payroll assumption</t>
  </si>
  <si>
    <t>R&amp;D annual salary / FTE</t>
  </si>
  <si>
    <t>Marketing annual salary / FTE</t>
  </si>
  <si>
    <t>G&amp;A annual salary / FTE</t>
  </si>
  <si>
    <t>Customer Success annual salary / FTE</t>
  </si>
  <si>
    <t>Monthly non-HC R&amp;D</t>
  </si>
  <si>
    <t>Software, labs, contractors</t>
  </si>
  <si>
    <t>Monthly non-HC Marketing</t>
  </si>
  <si>
    <t>Programs and acquisition</t>
  </si>
  <si>
    <t>Monthly non-HC G&amp;A</t>
  </si>
  <si>
    <t>Corporate operations</t>
  </si>
  <si>
    <t>Monthly non-HC Customer Success</t>
  </si>
  <si>
    <t>Customer programs</t>
  </si>
  <si>
    <t>Days sales outstanding</t>
  </si>
  <si>
    <t>days</t>
  </si>
  <si>
    <t>AR timing</t>
  </si>
  <si>
    <t>Days payable outstanding</t>
  </si>
  <si>
    <t>AP timing</t>
  </si>
  <si>
    <t>Accrued expense % of OpEx</t>
  </si>
  <si>
    <t>Accrued payroll and OpEx</t>
  </si>
  <si>
    <t>Prepaid % of non-HC OpEx</t>
  </si>
  <si>
    <t>Prepaid operating assets</t>
  </si>
  <si>
    <t>Monthly capex</t>
  </si>
  <si>
    <t>Placed in service in month</t>
  </si>
  <si>
    <t>Useful life</t>
  </si>
  <si>
    <t>Straight-line D&amp;A</t>
  </si>
  <si>
    <t>Monthly debt repayment</t>
  </si>
  <si>
    <t>Explicit financing action</t>
  </si>
  <si>
    <t>Annual interest rate</t>
  </si>
  <si>
    <t>Average debt balance</t>
  </si>
  <si>
    <t>Cash tax rate</t>
  </si>
  <si>
    <t>No deferred-tax complexity</t>
  </si>
  <si>
    <t>Monthly equity raise</t>
  </si>
  <si>
    <t>Explicit only; no auto-plug</t>
  </si>
  <si>
    <t>Monthly dividends</t>
  </si>
  <si>
    <t>Explicit only</t>
  </si>
  <si>
    <t>Opening cash</t>
  </si>
  <si>
    <t>Balanced opening balance sheet</t>
  </si>
  <si>
    <t>Opening accounts receivable</t>
  </si>
  <si>
    <t>Opening prepaid expenses</t>
  </si>
  <si>
    <t>Opening gross PP&amp;E</t>
  </si>
  <si>
    <t>Opening accumulated D&amp;A</t>
  </si>
  <si>
    <t>Contra-asset</t>
  </si>
  <si>
    <t>Opening accounts payable</t>
  </si>
  <si>
    <t>Opening accrued expenses</t>
  </si>
  <si>
    <t>Opening deferred revenue</t>
  </si>
  <si>
    <t>Opening debt</t>
  </si>
  <si>
    <t>Opening common equity</t>
  </si>
  <si>
    <t>Opening retained earnings</t>
  </si>
  <si>
    <t>Balances opening assets and claims</t>
  </si>
  <si>
    <t>OPENING BALANCE CONTROL</t>
  </si>
  <si>
    <t>Opening assets less liabilities and equity</t>
  </si>
  <si>
    <t>Must equal zero before forecast</t>
  </si>
  <si>
    <t>Revenue and Bookings Build</t>
  </si>
  <si>
    <t>Productive salespeople → bookings and logos → implementation lag → cohorts → billings and deferred revenue → recognized revenue.</t>
  </si>
  <si>
    <t>$000s except customers, FTE, and rates</t>
  </si>
  <si>
    <t>SALES CAPACITY AND BOOKINGS</t>
  </si>
  <si>
    <t>Productive salespeople</t>
  </si>
  <si>
    <t>Productivity / rep / month</t>
  </si>
  <si>
    <t>New bookings</t>
  </si>
  <si>
    <t>Average contract value</t>
  </si>
  <si>
    <t>New logos</t>
  </si>
  <si>
    <t>CUSTOMER ROLL-FORWARD</t>
  </si>
  <si>
    <t>Beginning customers</t>
  </si>
  <si>
    <t>Churned customers</t>
  </si>
  <si>
    <t>Ending customers</t>
  </si>
  <si>
    <t>COHORT REVENUE DRIVERS</t>
  </si>
  <si>
    <t>Opening-customer subscription revenue</t>
  </si>
  <si>
    <t>Acquisition cohort</t>
  </si>
  <si>
    <t>New-cohort subscription revenue</t>
  </si>
  <si>
    <t>Total subscription revenue</t>
  </si>
  <si>
    <t>Services revenue</t>
  </si>
  <si>
    <t>Total recognized revenue</t>
  </si>
  <si>
    <t>BILLINGS AND DEFERRED REVENUE</t>
  </si>
  <si>
    <t>Existing-customer subscription billings</t>
  </si>
  <si>
    <t>New subscription bookings billed</t>
  </si>
  <si>
    <t>Services billings</t>
  </si>
  <si>
    <t>Total billings</t>
  </si>
  <si>
    <t>Beginning deferred revenue</t>
  </si>
  <si>
    <t>+ Billings</t>
  </si>
  <si>
    <t>− Recognized revenue</t>
  </si>
  <si>
    <t>Ending deferred revenue</t>
  </si>
  <si>
    <t>Deferred-revenue change</t>
  </si>
  <si>
    <t>Headcount Build</t>
  </si>
  <si>
    <t>Beginning FTE + hires − attrition = ending FTE; payroll uses average FTE. Sales capacity follows a four-month ramp.</t>
  </si>
  <si>
    <t>SALES</t>
  </si>
  <si>
    <t>Beginning FTE</t>
  </si>
  <si>
    <t>Hires</t>
  </si>
  <si>
    <t>Attrition</t>
  </si>
  <si>
    <t>Ending FTE</t>
  </si>
  <si>
    <t>Annual salary / FTE</t>
  </si>
  <si>
    <t>R&amp;D</t>
  </si>
  <si>
    <t>MARKETING</t>
  </si>
  <si>
    <t>G&amp;A</t>
  </si>
  <si>
    <t>CUSTOMER SUCCESS</t>
  </si>
  <si>
    <t>TOTAL COMPANY</t>
  </si>
  <si>
    <t>PRODUCTIVE SALESPEOPLE — FOUR-MONTH RAMP</t>
  </si>
  <si>
    <t>Opening productive cohort</t>
  </si>
  <si>
    <t>Jan hire cohort</t>
  </si>
  <si>
    <t>Feb hire cohort</t>
  </si>
  <si>
    <t>Mar hire cohort</t>
  </si>
  <si>
    <t>Apr hire cohort</t>
  </si>
  <si>
    <t>May hire cohort</t>
  </si>
  <si>
    <t>Jun hire cohort</t>
  </si>
  <si>
    <t>Jul hire cohort</t>
  </si>
  <si>
    <t>Aug hire cohort</t>
  </si>
  <si>
    <t>Sep hire cohort</t>
  </si>
  <si>
    <t>Oct hire cohort</t>
  </si>
  <si>
    <t>Nov hire cohort</t>
  </si>
  <si>
    <t>Dec hire cohort</t>
  </si>
  <si>
    <t>Total productive salespeople</t>
  </si>
  <si>
    <t>Operating Expense Build</t>
  </si>
  <si>
    <t>Recognized revenue drives cost of revenue; headcount-linked payroll remains separate from non-headcount departmental expense.</t>
  </si>
  <si>
    <t>REVENUE AND COST OF REVENUE</t>
  </si>
  <si>
    <t>Subscription revenue</t>
  </si>
  <si>
    <t>Subscription cost %</t>
  </si>
  <si>
    <t>Services cost %</t>
  </si>
  <si>
    <t>Total cost of revenue</t>
  </si>
  <si>
    <t>Gross profit</t>
  </si>
  <si>
    <t>Gross margin</t>
  </si>
  <si>
    <t>HEADCOUNT-DRIVEN PAYROLL</t>
  </si>
  <si>
    <t>Sales payroll</t>
  </si>
  <si>
    <t>R&amp;D payroll</t>
  </si>
  <si>
    <t>Marketing payroll</t>
  </si>
  <si>
    <t>G&amp;A payroll</t>
  </si>
  <si>
    <t>Customer Success payroll</t>
  </si>
  <si>
    <t>Total payroll</t>
  </si>
  <si>
    <t>NON-HEADCOUNT DEPARTMENTAL EXPENSES</t>
  </si>
  <si>
    <t>R&amp;D non-headcount</t>
  </si>
  <si>
    <t>Marketing non-headcount</t>
  </si>
  <si>
    <t>G&amp;A non-headcount</t>
  </si>
  <si>
    <t>Customer Success non-headcount</t>
  </si>
  <si>
    <t>Total non-headcount</t>
  </si>
  <si>
    <t>OPERATING OUTLOOK</t>
  </si>
  <si>
    <t>EBITDA margin</t>
  </si>
  <si>
    <t>Total operating expense</t>
  </si>
  <si>
    <t>Working Capital Build</t>
  </si>
  <si>
    <t>Accounts receivable, accounts payable, prepaids, accruals, and deferred revenue are forecast from explicit operating drivers.</t>
  </si>
  <si>
    <t>ACCOUNTS RECEIVABLE</t>
  </si>
  <si>
    <t>Ending AR</t>
  </si>
  <si>
    <t>Change in AR</t>
  </si>
  <si>
    <t>ACCOUNTS PAYABLE</t>
  </si>
  <si>
    <t>Cost of revenue</t>
  </si>
  <si>
    <t>Ending AP</t>
  </si>
  <si>
    <t>Change in AP</t>
  </si>
  <si>
    <t>PREPAID EXPENSES</t>
  </si>
  <si>
    <t>Non-headcount OpEx</t>
  </si>
  <si>
    <t>Prepaid %</t>
  </si>
  <si>
    <t>Ending prepaids</t>
  </si>
  <si>
    <t>Change in prepaids</t>
  </si>
  <si>
    <t>ACCRUED EXPENSES</t>
  </si>
  <si>
    <t>Accrued %</t>
  </si>
  <si>
    <t>Ending accrued expenses</t>
  </si>
  <si>
    <t>Change in accrued expenses</t>
  </si>
  <si>
    <t>DEFERRED REVENUE</t>
  </si>
  <si>
    <t>Recognized revenue</t>
  </si>
  <si>
    <t>Change in deferred revenue</t>
  </si>
  <si>
    <t>NET WORKING CAPITAL AND CASH IMPACT</t>
  </si>
  <si>
    <t>Net working capital</t>
  </si>
  <si>
    <t>Change in net working capital</t>
  </si>
  <si>
    <t>Cash impact of working-capital movements</t>
  </si>
  <si>
    <t>Fixed Assets, Depreciation, and Amortization Build</t>
  </si>
  <si>
    <t>Straight-line depreciation with explicit gross PP&amp;E, accumulated D&amp;A, capex, and net PP&amp;E roll-forwards.</t>
  </si>
  <si>
    <t>GROSS PP&amp;E</t>
  </si>
  <si>
    <t>Beginning gross PP&amp;E</t>
  </si>
  <si>
    <t>Capex</t>
  </si>
  <si>
    <t>Disposals</t>
  </si>
  <si>
    <t>Ending gross PP&amp;E</t>
  </si>
  <si>
    <t>ACCUMULATED D&amp;A</t>
  </si>
  <si>
    <t>Beginning accumulated D&amp;A</t>
  </si>
  <si>
    <t>Depreciation</t>
  </si>
  <si>
    <t>Ending accumulated D&amp;A</t>
  </si>
  <si>
    <t>Ending net PP&amp;E</t>
  </si>
  <si>
    <t>ROLL-FORWARD CHECK</t>
  </si>
  <si>
    <t>Beginning net PP&amp;E</t>
  </si>
  <si>
    <t>Beginning net PP&amp;E + capex − D&amp;A</t>
  </si>
  <si>
    <t>PP&amp;E reconciliation delta</t>
  </si>
  <si>
    <t>Financing, Taxes, and Equity Build</t>
  </si>
  <si>
    <t>Debt, interest, taxes, common equity, dividends, and retained earnings are explicit schedules—never residual balancing plugs.</t>
  </si>
  <si>
    <t>DEBT AND INTEREST</t>
  </si>
  <si>
    <t>Beginning debt</t>
  </si>
  <si>
    <t>Borrowings</t>
  </si>
  <si>
    <t>Repayments</t>
  </si>
  <si>
    <t>Ending debt</t>
  </si>
  <si>
    <t>Interest expense</t>
  </si>
  <si>
    <t>Debt roll-forward check</t>
  </si>
  <si>
    <t>TAXES</t>
  </si>
  <si>
    <t>EBIT</t>
  </si>
  <si>
    <t>Earnings before tax</t>
  </si>
  <si>
    <t>Cash taxes</t>
  </si>
  <si>
    <t>COMMON EQUITY</t>
  </si>
  <si>
    <t>Beginning common equity</t>
  </si>
  <si>
    <t>Equity raise</t>
  </si>
  <si>
    <t>Ending common equity</t>
  </si>
  <si>
    <t>Common equity roll-forward check</t>
  </si>
  <si>
    <t>RETAINED EARNINGS</t>
  </si>
  <si>
    <t>Beginning retained earnings</t>
  </si>
  <si>
    <t>Net income</t>
  </si>
  <si>
    <t>Dividends</t>
  </si>
  <si>
    <t>Other adjustments</t>
  </si>
  <si>
    <t>Ending retained earnings</t>
  </si>
  <si>
    <t>Retained earnings roll-forward check</t>
  </si>
  <si>
    <t>Three Financial Statements</t>
  </si>
  <si>
    <t>Income Statement</t>
  </si>
  <si>
    <t>Balance Sheet</t>
  </si>
  <si>
    <t>Cash Flow Statement</t>
  </si>
  <si>
    <t>Recognized subscription and services revenue through net income; all statement lines link to owned schedules.</t>
  </si>
  <si>
    <t>Total revenue</t>
  </si>
  <si>
    <t>Non-headcount operating expense</t>
  </si>
  <si>
    <t>Depreciation &amp; amortization</t>
  </si>
  <si>
    <t>Cash links from the cash flow statement; noncash accounts, debt, common equity, and retained earnings link from owned schedules.</t>
  </si>
  <si>
    <t>ASSETS</t>
  </si>
  <si>
    <t>Cash</t>
  </si>
  <si>
    <t>Accounts receivable</t>
  </si>
  <si>
    <t>Prepaid expenses</t>
  </si>
  <si>
    <t>Net PP&amp;E</t>
  </si>
  <si>
    <t>Other assets</t>
  </si>
  <si>
    <t>Total assets</t>
  </si>
  <si>
    <t>LIABILITIES</t>
  </si>
  <si>
    <t>Accounts payable</t>
  </si>
  <si>
    <t>Accrued expenses</t>
  </si>
  <si>
    <t>Deferred revenue</t>
  </si>
  <si>
    <t>Debt</t>
  </si>
  <si>
    <t>Other liabilities</t>
  </si>
  <si>
    <t>Total liabilities</t>
  </si>
  <si>
    <t>EQUITY</t>
  </si>
  <si>
    <t>Common equity</t>
  </si>
  <si>
    <t>Other comprehensive income</t>
  </si>
  <si>
    <t>Total equity</t>
  </si>
  <si>
    <t>Total liabilities and equity</t>
  </si>
  <si>
    <t>BALANCE CHECK</t>
  </si>
  <si>
    <t>Assets less liabilities and equity</t>
  </si>
  <si>
    <t>Indirect cash flow from net income through operating, investing, and financing activities; ending cash links directly to the balance sheet.</t>
  </si>
  <si>
    <t>CASH FROM OPERATING ACTIVITIES</t>
  </si>
  <si>
    <t>D&amp;A</t>
  </si>
  <si>
    <t>Less: increase in AR</t>
  </si>
  <si>
    <t>Less: increase in prepaids</t>
  </si>
  <si>
    <t>Plus: increase in AP</t>
  </si>
  <si>
    <t>Plus: increase in accrued expenses</t>
  </si>
  <si>
    <t>Plus: increase in deferred revenue</t>
  </si>
  <si>
    <t>Cash from operating activities</t>
  </si>
  <si>
    <t>Working-capital cash impact</t>
  </si>
  <si>
    <t>CFO reconciliation delta</t>
  </si>
  <si>
    <t>CASH FROM INVESTING ACTIVITIES</t>
  </si>
  <si>
    <t>Capital expenditures</t>
  </si>
  <si>
    <t>Cash from investing activities</t>
  </si>
  <si>
    <t>CASH FROM FINANCING ACTIVITIES</t>
  </si>
  <si>
    <t>Debt repayments</t>
  </si>
  <si>
    <t>Cash from financing activities</t>
  </si>
  <si>
    <t>CASH ROLL-FORWARD</t>
  </si>
  <si>
    <t>Net change in cash</t>
  </si>
  <si>
    <t>Beginning cash</t>
  </si>
  <si>
    <t>Ending cash</t>
  </si>
  <si>
    <t>Cash roll-forward check</t>
  </si>
  <si>
    <t>Model Outputs</t>
  </si>
  <si>
    <t>Exec Sum</t>
  </si>
  <si>
    <t>Executive Summary, Checks, and Management Outputs</t>
  </si>
  <si>
    <t>Executive Summary</t>
  </si>
  <si>
    <t>MODEL STATUS</t>
  </si>
  <si>
    <t>2027 revenue</t>
  </si>
  <si>
    <t>2027 EBITDA</t>
  </si>
  <si>
    <t>December ending cash</t>
  </si>
  <si>
    <t>December ending customers</t>
  </si>
  <si>
    <t>December ending FTE</t>
  </si>
  <si>
    <t>Check</t>
  </si>
  <si>
    <t>Status</t>
  </si>
  <si>
    <t>Balance sheet balance</t>
  </si>
  <si>
    <t>Cash flow ending cash = balance-sheet cash</t>
  </si>
  <si>
    <t>Net income links to retained earnings</t>
  </si>
  <si>
    <t>Working-capital cash impact reconciles</t>
  </si>
  <si>
    <t>Fixed assets, capex, and D&amp;A reconcile</t>
  </si>
  <si>
    <t>Deferred revenue roll-forward reconciles</t>
  </si>
  <si>
    <t>No unexplained balancing plug</t>
  </si>
  <si>
    <t>Month</t>
  </si>
  <si>
    <t>Jan-27</t>
  </si>
  <si>
    <t>Feb-27</t>
  </si>
  <si>
    <t>Mar-27</t>
  </si>
  <si>
    <t>Apr-27</t>
  </si>
  <si>
    <t>May-27</t>
  </si>
  <si>
    <t>Jun-27</t>
  </si>
  <si>
    <t>Jul-27</t>
  </si>
  <si>
    <t>Aug-27</t>
  </si>
  <si>
    <t>Sep-27</t>
  </si>
  <si>
    <t>Oct-27</t>
  </si>
  <si>
    <t>Nov-27</t>
  </si>
  <si>
    <t>Dec-27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</si>
</sst>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[Red]\(#,##0\);\-"/>
    <numFmt numFmtId="165" formatCode="\$#,##0;[Red]\(\$#,##0\);\-"/>
    <numFmt numFmtId="166" formatCode="#,##0.0;[Red]\(#,##0.0\);\-"/>
    <numFmt numFmtId="167" formatCode="0.0%;[Red]\(0.0%\);\-"/>
    <numFmt numFmtId="168" formatCode="\$#,##0.0;[Red]\(\$#,##0.0\);\-"/>
    <numFmt numFmtId="169" formatCode="0.0"/>
  </numFmts>
  <fonts count="22" x14ac:knownFonts="1">
    <font>
      <sz val="11"/>
      <color rgb="FF000000"/>
      <name val="Aptos Narrow"/>
      <scheme val="minor"/>
    </font>
    <font>
      <b/>
      <sz val="14"/>
      <color rgb="FFFFFFFF"/>
      <name val="Arial"/>
      <family val="2"/>
    </font>
    <font>
      <sz val="11"/>
      <name val="Aptos Narrow"/>
    </font>
    <font>
      <i/>
      <sz val="10"/>
      <color rgb="FF5B6570"/>
      <name val="Arial"/>
      <family val="2"/>
    </font>
    <font>
      <sz val="11"/>
      <color theme="1"/>
      <name val="Arial"/>
      <family val="2"/>
    </font>
    <font>
      <b/>
      <sz val="9"/>
      <color rgb="FFFFFFFF"/>
      <name val="Arial"/>
      <family val="2"/>
    </font>
    <font>
      <sz val="9"/>
      <color rgb="FF17212B"/>
      <name val="Arial"/>
      <family val="2"/>
    </font>
    <font>
      <b/>
      <sz val="10"/>
      <color rgb="FFFFFFFF"/>
      <name val="Arial"/>
      <family val="2"/>
    </font>
    <font>
      <b/>
      <sz val="11"/>
      <color rgb="FF1F5458"/>
      <name val="Arial"/>
      <family val="2"/>
    </font>
    <font>
      <b/>
      <sz val="9"/>
      <color rgb="FF17212B"/>
      <name val="Arial"/>
      <family val="2"/>
    </font>
    <font>
      <sz val="9"/>
      <color rgb="FF0000FF"/>
      <name val="Arial"/>
      <family val="2"/>
    </font>
    <font>
      <b/>
      <sz val="9"/>
      <color rgb="FF000000"/>
      <name val="Arial"/>
      <family val="2"/>
    </font>
    <font>
      <sz val="11"/>
      <color rgb="FF000000"/>
      <name val="Arial"/>
      <family val="2"/>
    </font>
    <font>
      <sz val="9"/>
      <color rgb="FF008000"/>
      <name val="Arial"/>
      <family val="2"/>
    </font>
    <font>
      <sz val="9"/>
      <color rgb="FF000000"/>
      <name val="Arial"/>
      <family val="2"/>
    </font>
    <font>
      <b/>
      <sz val="9"/>
      <color rgb="FF008000"/>
      <name val="Arial"/>
      <family val="2"/>
    </font>
    <font>
      <sz val="10"/>
      <color rgb="FFFFFFFF"/>
      <name val="Arial"/>
      <family val="2"/>
    </font>
    <font>
      <b/>
      <i/>
      <sz val="10"/>
      <color rgb="FFFFFFFF"/>
      <name val="Arial"/>
      <family val="2"/>
    </font>
    <font>
      <i/>
      <sz val="9"/>
      <color rgb="FFFFFFFF"/>
      <name val="Arial"/>
      <family val="2"/>
    </font>
    <font>
      <i/>
      <sz val="9"/>
      <color rgb="FF17212B"/>
      <name val="Arial"/>
      <family val="2"/>
    </font>
    <font>
      <i/>
      <sz val="9"/>
      <color rgb="FF000000"/>
      <name val="Arial"/>
      <family val="2"/>
    </font>
    <font>
      <i/>
      <sz val="9"/>
      <color rgb="FF26323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263238"/>
        <bgColor rgb="FF263238"/>
      </patternFill>
    </fill>
    <fill>
      <patternFill patternType="solid">
        <fgColor rgb="FFE8F0F3"/>
        <bgColor rgb="FFE8F0F3"/>
      </patternFill>
    </fill>
    <fill>
      <patternFill patternType="solid">
        <fgColor rgb="FF2F6F73"/>
        <bgColor rgb="FF2F6F73"/>
      </patternFill>
    </fill>
    <fill>
      <patternFill patternType="solid">
        <fgColor rgb="FFFFFFFF"/>
        <bgColor rgb="FFFFFFFF"/>
      </patternFill>
    </fill>
    <fill>
      <patternFill patternType="solid">
        <fgColor rgb="FF455A64"/>
        <bgColor rgb="FF455A64"/>
      </patternFill>
    </fill>
    <fill>
      <patternFill patternType="solid">
        <fgColor rgb="FFDCEBEC"/>
        <bgColor rgb="FFDCEBEC"/>
      </patternFill>
    </fill>
    <fill>
      <patternFill patternType="solid">
        <fgColor rgb="FFFFF2CC"/>
        <bgColor rgb="FFFFF2CC"/>
      </patternFill>
    </fill>
    <fill>
      <patternFill patternType="solid">
        <fgColor rgb="FF37474F"/>
        <bgColor rgb="FF37474F"/>
      </patternFill>
    </fill>
    <fill>
      <patternFill patternType="solid">
        <fgColor rgb="FFF3F7F8"/>
        <bgColor rgb="FFF3F7F8"/>
      </patternFill>
    </fill>
    <fill>
      <patternFill patternType="solid">
        <fgColor theme="0" tint="-0.499984740745262"/>
        <bgColor rgb="FF455A64"/>
      </patternFill>
    </fill>
    <fill>
      <patternFill patternType="solid">
        <fgColor theme="0" tint="-0.499984740745262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9E0E6"/>
      </left>
      <right style="thin">
        <color rgb="FFD9E0E6"/>
      </right>
      <top style="thin">
        <color rgb="FFD9E0E6"/>
      </top>
      <bottom style="thin">
        <color rgb="FFD9E0E6"/>
      </bottom>
      <diagonal/>
    </border>
    <border>
      <left style="thin">
        <color rgb="FFD9E0E6"/>
      </left>
      <right/>
      <top style="thin">
        <color rgb="FFD9E0E6"/>
      </top>
      <bottom style="thin">
        <color rgb="FFD9E0E6"/>
      </bottom>
      <diagonal/>
    </border>
    <border>
      <left/>
      <right/>
      <top style="thin">
        <color rgb="FFD9E0E6"/>
      </top>
      <bottom style="thin">
        <color rgb="FFD9E0E6"/>
      </bottom>
      <diagonal/>
    </border>
    <border>
      <left/>
      <right style="thin">
        <color rgb="FFD9E0E6"/>
      </right>
      <top style="thin">
        <color rgb="FFD9E0E6"/>
      </top>
      <bottom style="thin">
        <color rgb="FFD9E0E6"/>
      </bottom>
      <diagonal/>
    </border>
    <border>
      <left/>
      <right/>
      <top/>
      <bottom/>
      <diagonal/>
    </border>
    <border>
      <left style="thin">
        <color rgb="FFD6C26E"/>
      </left>
      <right/>
      <top style="thin">
        <color rgb="FFD6C26E"/>
      </top>
      <bottom style="thin">
        <color rgb="FFD6C26E"/>
      </bottom>
      <diagonal/>
    </border>
    <border>
      <left/>
      <right/>
      <top style="thin">
        <color rgb="FFD6C26E"/>
      </top>
      <bottom style="thin">
        <color rgb="FFD6C26E"/>
      </bottom>
      <diagonal/>
    </border>
    <border>
      <left/>
      <right style="thin">
        <color rgb="FFD6C26E"/>
      </right>
      <top style="thin">
        <color rgb="FFD6C26E"/>
      </top>
      <bottom style="thin">
        <color rgb="FFD6C26E"/>
      </bottom>
      <diagonal/>
    </border>
    <border>
      <left style="thin">
        <color rgb="FFD6C26E"/>
      </left>
      <right style="thin">
        <color rgb="FFD6C26E"/>
      </right>
      <top style="thin">
        <color rgb="FFD6C26E"/>
      </top>
      <bottom style="thin">
        <color rgb="FFD6C26E"/>
      </bottom>
      <diagonal/>
    </border>
    <border>
      <left/>
      <right/>
      <top style="thin">
        <color rgb="FF25313C"/>
      </top>
      <bottom style="double">
        <color rgb="FF25313C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5" fillId="4" borderId="10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 wrapText="1"/>
    </xf>
    <xf numFmtId="0" fontId="5" fillId="9" borderId="10" xfId="0" applyFont="1" applyFill="1" applyBorder="1" applyAlignment="1">
      <alignment horizontal="center" vertical="center" wrapText="1"/>
    </xf>
    <xf numFmtId="164" fontId="10" fillId="8" borderId="18" xfId="0" applyNumberFormat="1" applyFont="1" applyFill="1" applyBorder="1" applyAlignment="1">
      <alignment horizontal="right" vertical="center" wrapText="1"/>
    </xf>
    <xf numFmtId="164" fontId="11" fillId="7" borderId="10" xfId="0" applyNumberFormat="1" applyFont="1" applyFill="1" applyBorder="1" applyAlignment="1">
      <alignment horizontal="left" vertical="center" wrapText="1"/>
    </xf>
    <xf numFmtId="165" fontId="10" fillId="8" borderId="18" xfId="0" applyNumberFormat="1" applyFont="1" applyFill="1" applyBorder="1" applyAlignment="1">
      <alignment horizontal="right" vertical="center" wrapText="1"/>
    </xf>
    <xf numFmtId="165" fontId="11" fillId="7" borderId="10" xfId="0" applyNumberFormat="1" applyFont="1" applyFill="1" applyBorder="1" applyAlignment="1">
      <alignment horizontal="left" vertical="center" wrapText="1"/>
    </xf>
    <xf numFmtId="166" fontId="10" fillId="8" borderId="18" xfId="0" applyNumberFormat="1" applyFont="1" applyFill="1" applyBorder="1" applyAlignment="1">
      <alignment horizontal="right" vertical="center" wrapText="1"/>
    </xf>
    <xf numFmtId="166" fontId="11" fillId="7" borderId="10" xfId="0" applyNumberFormat="1" applyFont="1" applyFill="1" applyBorder="1" applyAlignment="1">
      <alignment horizontal="left" vertical="center" wrapText="1"/>
    </xf>
    <xf numFmtId="1" fontId="10" fillId="8" borderId="18" xfId="0" applyNumberFormat="1" applyFont="1" applyFill="1" applyBorder="1" applyAlignment="1">
      <alignment horizontal="right" vertical="center" wrapText="1"/>
    </xf>
    <xf numFmtId="1" fontId="11" fillId="7" borderId="10" xfId="0" applyNumberFormat="1" applyFont="1" applyFill="1" applyBorder="1" applyAlignment="1">
      <alignment horizontal="left" vertical="center" wrapText="1"/>
    </xf>
    <xf numFmtId="167" fontId="10" fillId="8" borderId="18" xfId="0" applyNumberFormat="1" applyFont="1" applyFill="1" applyBorder="1" applyAlignment="1">
      <alignment horizontal="right" vertical="center" wrapText="1"/>
    </xf>
    <xf numFmtId="167" fontId="11" fillId="7" borderId="10" xfId="0" applyNumberFormat="1" applyFont="1" applyFill="1" applyBorder="1" applyAlignment="1">
      <alignment horizontal="left" vertical="center" wrapText="1"/>
    </xf>
    <xf numFmtId="168" fontId="10" fillId="8" borderId="18" xfId="0" applyNumberFormat="1" applyFont="1" applyFill="1" applyBorder="1" applyAlignment="1">
      <alignment horizontal="right" vertical="center" wrapText="1"/>
    </xf>
    <xf numFmtId="168" fontId="11" fillId="7" borderId="10" xfId="0" applyNumberFormat="1" applyFont="1" applyFill="1" applyBorder="1" applyAlignment="1">
      <alignment horizontal="left" vertical="center" wrapText="1"/>
    </xf>
    <xf numFmtId="169" fontId="10" fillId="8" borderId="18" xfId="0" applyNumberFormat="1" applyFont="1" applyFill="1" applyBorder="1" applyAlignment="1">
      <alignment horizontal="right" vertical="center" wrapText="1"/>
    </xf>
    <xf numFmtId="169" fontId="11" fillId="7" borderId="10" xfId="0" applyNumberFormat="1" applyFont="1" applyFill="1" applyBorder="1" applyAlignment="1">
      <alignment horizontal="left" vertical="center" wrapText="1"/>
    </xf>
    <xf numFmtId="17" fontId="5" fillId="9" borderId="10" xfId="0" applyNumberFormat="1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left" vertical="center"/>
    </xf>
    <xf numFmtId="166" fontId="13" fillId="5" borderId="14" xfId="0" applyNumberFormat="1" applyFont="1" applyFill="1" applyBorder="1" applyAlignment="1">
      <alignment horizontal="right" vertical="center"/>
    </xf>
    <xf numFmtId="165" fontId="13" fillId="5" borderId="14" xfId="0" applyNumberFormat="1" applyFont="1" applyFill="1" applyBorder="1" applyAlignment="1">
      <alignment horizontal="right" vertical="center"/>
    </xf>
    <xf numFmtId="165" fontId="9" fillId="5" borderId="19" xfId="0" applyNumberFormat="1" applyFont="1" applyFill="1" applyBorder="1" applyAlignment="1">
      <alignment horizontal="left" vertical="center"/>
    </xf>
    <xf numFmtId="165" fontId="11" fillId="5" borderId="19" xfId="0" applyNumberFormat="1" applyFont="1" applyFill="1" applyBorder="1" applyAlignment="1">
      <alignment horizontal="right" vertical="center"/>
    </xf>
    <xf numFmtId="166" fontId="14" fillId="5" borderId="14" xfId="0" applyNumberFormat="1" applyFont="1" applyFill="1" applyBorder="1" applyAlignment="1">
      <alignment horizontal="right" vertical="center"/>
    </xf>
    <xf numFmtId="1" fontId="13" fillId="5" borderId="14" xfId="0" applyNumberFormat="1" applyFont="1" applyFill="1" applyBorder="1" applyAlignment="1">
      <alignment horizontal="right" vertical="center"/>
    </xf>
    <xf numFmtId="0" fontId="6" fillId="5" borderId="14" xfId="0" applyFont="1" applyFill="1" applyBorder="1" applyAlignment="1">
      <alignment horizontal="right" vertical="center"/>
    </xf>
    <xf numFmtId="166" fontId="9" fillId="5" borderId="19" xfId="0" applyNumberFormat="1" applyFont="1" applyFill="1" applyBorder="1" applyAlignment="1">
      <alignment horizontal="left" vertical="center"/>
    </xf>
    <xf numFmtId="166" fontId="11" fillId="5" borderId="19" xfId="0" applyNumberFormat="1" applyFont="1" applyFill="1" applyBorder="1" applyAlignment="1">
      <alignment horizontal="right" vertical="center"/>
    </xf>
    <xf numFmtId="167" fontId="13" fillId="5" borderId="14" xfId="0" applyNumberFormat="1" applyFont="1" applyFill="1" applyBorder="1" applyAlignment="1">
      <alignment horizontal="right" vertical="center"/>
    </xf>
    <xf numFmtId="17" fontId="6" fillId="5" borderId="14" xfId="0" applyNumberFormat="1" applyFont="1" applyFill="1" applyBorder="1" applyAlignment="1">
      <alignment horizontal="left" vertical="center"/>
    </xf>
    <xf numFmtId="165" fontId="14" fillId="5" borderId="14" xfId="0" applyNumberFormat="1" applyFont="1" applyFill="1" applyBorder="1" applyAlignment="1">
      <alignment horizontal="right" vertical="center"/>
    </xf>
    <xf numFmtId="166" fontId="10" fillId="5" borderId="14" xfId="0" applyNumberFormat="1" applyFont="1" applyFill="1" applyBorder="1" applyAlignment="1">
      <alignment horizontal="right" vertical="center"/>
    </xf>
    <xf numFmtId="165" fontId="15" fillId="5" borderId="19" xfId="0" applyNumberFormat="1" applyFont="1" applyFill="1" applyBorder="1" applyAlignment="1">
      <alignment horizontal="right" vertical="center"/>
    </xf>
    <xf numFmtId="169" fontId="13" fillId="5" borderId="14" xfId="0" applyNumberFormat="1" applyFont="1" applyFill="1" applyBorder="1" applyAlignment="1">
      <alignment horizontal="right" vertical="center"/>
    </xf>
    <xf numFmtId="165" fontId="10" fillId="5" borderId="14" xfId="0" applyNumberFormat="1" applyFont="1" applyFill="1" applyBorder="1" applyAlignment="1">
      <alignment horizontal="right" vertical="center"/>
    </xf>
    <xf numFmtId="0" fontId="16" fillId="2" borderId="14" xfId="0" applyFont="1" applyFill="1" applyBorder="1" applyAlignment="1">
      <alignment vertical="center"/>
    </xf>
    <xf numFmtId="0" fontId="17" fillId="4" borderId="14" xfId="0" applyFont="1" applyFill="1" applyBorder="1" applyAlignment="1">
      <alignment vertical="center"/>
    </xf>
    <xf numFmtId="167" fontId="14" fillId="5" borderId="14" xfId="0" applyNumberFormat="1" applyFont="1" applyFill="1" applyBorder="1" applyAlignment="1">
      <alignment horizontal="right" vertical="center"/>
    </xf>
    <xf numFmtId="0" fontId="6" fillId="5" borderId="10" xfId="0" applyFont="1" applyFill="1" applyBorder="1" applyAlignment="1">
      <alignment horizontal="left" vertical="center"/>
    </xf>
    <xf numFmtId="165" fontId="6" fillId="5" borderId="10" xfId="0" applyNumberFormat="1" applyFont="1" applyFill="1" applyBorder="1" applyAlignment="1">
      <alignment horizontal="left" vertical="center"/>
    </xf>
    <xf numFmtId="166" fontId="6" fillId="5" borderId="10" xfId="0" applyNumberFormat="1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center" vertical="center" wrapText="1"/>
    </xf>
    <xf numFmtId="17" fontId="5" fillId="4" borderId="10" xfId="0" applyNumberFormat="1" applyFont="1" applyFill="1" applyBorder="1" applyAlignment="1">
      <alignment horizontal="center" vertical="center" wrapText="1"/>
    </xf>
    <xf numFmtId="0" fontId="6" fillId="10" borderId="10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19" fillId="5" borderId="14" xfId="0" applyFont="1" applyFill="1" applyBorder="1" applyAlignment="1">
      <alignment horizontal="left" vertical="center"/>
    </xf>
    <xf numFmtId="165" fontId="20" fillId="5" borderId="14" xfId="0" applyNumberFormat="1" applyFont="1" applyFill="1" applyBorder="1" applyAlignment="1">
      <alignment horizontal="right" vertical="center"/>
    </xf>
    <xf numFmtId="17" fontId="5" fillId="9" borderId="13" xfId="0" applyNumberFormat="1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7" fillId="4" borderId="14" xfId="0" applyFont="1" applyFill="1" applyBorder="1" applyAlignment="1">
      <alignment vertical="center"/>
    </xf>
    <xf numFmtId="165" fontId="12" fillId="0" borderId="0" xfId="0" applyNumberFormat="1" applyFont="1" applyAlignment="1">
      <alignment vertical="center"/>
    </xf>
    <xf numFmtId="2" fontId="6" fillId="10" borderId="10" xfId="0" applyNumberFormat="1" applyFont="1" applyFill="1" applyBorder="1" applyAlignment="1">
      <alignment horizontal="right" vertical="center" wrapText="1"/>
    </xf>
    <xf numFmtId="165" fontId="6" fillId="5" borderId="10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6" fillId="5" borderId="11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7" fillId="6" borderId="7" xfId="0" applyFont="1" applyFill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10" fillId="8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8" fillId="2" borderId="7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left" vertical="center"/>
    </xf>
    <xf numFmtId="0" fontId="7" fillId="11" borderId="7" xfId="0" applyFont="1" applyFill="1" applyBorder="1" applyAlignment="1">
      <alignment horizontal="left" vertical="center"/>
    </xf>
    <xf numFmtId="0" fontId="2" fillId="12" borderId="8" xfId="0" applyFont="1" applyFill="1" applyBorder="1" applyAlignment="1">
      <alignment vertical="center"/>
    </xf>
    <xf numFmtId="0" fontId="2" fillId="12" borderId="9" xfId="0" applyFont="1" applyFill="1" applyBorder="1" applyAlignment="1">
      <alignment vertical="center"/>
    </xf>
    <xf numFmtId="0" fontId="6" fillId="10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16">
    <dxf>
      <font>
        <b/>
        <color rgb="FF8A6400"/>
      </font>
      <fill>
        <patternFill patternType="solid">
          <fgColor rgb="FFFFF2CC"/>
          <bgColor rgb="FFFFF2CC"/>
        </patternFill>
      </fill>
    </dxf>
    <dxf>
      <font>
        <b/>
        <color rgb="FFB3261E"/>
      </font>
      <fill>
        <patternFill patternType="solid">
          <fgColor rgb="FFF4CCCC"/>
          <bgColor rgb="FFF4CCCC"/>
        </patternFill>
      </fill>
    </dxf>
    <dxf>
      <font>
        <b/>
        <color rgb="FF2E7D32"/>
      </font>
      <fill>
        <patternFill patternType="solid">
          <fgColor rgb="FFD9EAD3"/>
          <bgColor rgb="FFD9EAD3"/>
        </patternFill>
      </fill>
    </dxf>
    <dxf>
      <font>
        <b/>
        <color rgb="FFB3261E"/>
      </font>
      <fill>
        <patternFill patternType="solid">
          <fgColor rgb="FFF4CCCC"/>
          <bgColor rgb="FFF4CCCC"/>
        </patternFill>
      </fill>
    </dxf>
    <dxf>
      <font>
        <b/>
        <color rgb="FF2E7D32"/>
      </font>
      <fill>
        <patternFill patternType="solid">
          <fgColor rgb="FFD9EAD3"/>
          <bgColor rgb="FFD9EAD3"/>
        </patternFill>
      </fill>
    </dxf>
    <dxf>
      <font>
        <b/>
        <color rgb="FF8A6400"/>
      </font>
      <fill>
        <patternFill patternType="solid">
          <fgColor rgb="FFFFF2CC"/>
          <bgColor rgb="FFFFF2CC"/>
        </patternFill>
      </fill>
    </dxf>
    <dxf>
      <font>
        <b/>
        <color rgb="FFB3261E"/>
      </font>
      <fill>
        <patternFill patternType="solid">
          <fgColor rgb="FFF4CCCC"/>
          <bgColor rgb="FFF4CCCC"/>
        </patternFill>
      </fill>
    </dxf>
    <dxf>
      <font>
        <b/>
        <color rgb="FF2E7D32"/>
      </font>
      <fill>
        <patternFill patternType="solid">
          <fgColor rgb="FFD9EAD3"/>
          <bgColor rgb="FFD9EAD3"/>
        </patternFill>
      </fill>
    </dxf>
    <dxf>
      <font>
        <b/>
        <color rgb="FF8A6400"/>
      </font>
      <fill>
        <patternFill patternType="solid">
          <fgColor rgb="FFFFF2CC"/>
          <bgColor rgb="FFFFF2CC"/>
        </patternFill>
      </fill>
    </dxf>
    <dxf>
      <font>
        <b/>
        <color rgb="FFB3261E"/>
      </font>
      <fill>
        <patternFill patternType="solid">
          <fgColor rgb="FFF4CCCC"/>
          <bgColor rgb="FFF4CCCC"/>
        </patternFill>
      </fill>
    </dxf>
    <dxf>
      <font>
        <b/>
        <color rgb="FF2E7D32"/>
      </font>
      <fill>
        <patternFill patternType="solid">
          <fgColor rgb="FFD9EAD3"/>
          <bgColor rgb="FFD9EAD3"/>
        </patternFill>
      </fill>
    </dxf>
    <dxf>
      <font>
        <b/>
        <color rgb="FFB3261E"/>
      </font>
      <fill>
        <patternFill patternType="solid">
          <fgColor rgb="FFF4CCCC"/>
          <bgColor rgb="FFF4CCCC"/>
        </patternFill>
      </fill>
    </dxf>
    <dxf>
      <font>
        <b/>
        <color rgb="FF2E7D32"/>
      </font>
      <fill>
        <patternFill patternType="solid">
          <fgColor rgb="FFD9EAD3"/>
          <bgColor rgb="FFD9EAD3"/>
        </patternFill>
      </fill>
    </dxf>
    <dxf>
      <font>
        <b/>
        <color rgb="FF8A6400"/>
      </font>
      <fill>
        <patternFill patternType="solid">
          <fgColor rgb="FFFFF2CC"/>
          <bgColor rgb="FFFFF2CC"/>
        </patternFill>
      </fill>
    </dxf>
    <dxf>
      <font>
        <b/>
        <color rgb="FFB3261E"/>
      </font>
      <fill>
        <patternFill patternType="solid">
          <fgColor rgb="FFF4CCCC"/>
          <bgColor rgb="FFF4CCCC"/>
        </patternFill>
      </fill>
    </dxf>
    <dxf>
      <font>
        <b/>
        <color rgb="FF2E7D32"/>
      </font>
      <fill>
        <patternFill patternType="solid">
          <fgColor rgb="FFD9EAD3"/>
          <bgColor rgb="FFD9EAD3"/>
        </patternFill>
      </fill>
    </dxf>
  </dxfs>
  <tableStyles count="0" defaultTableStyle="TableStyleMedium2" defaultPivotStyle="PivotStyleLight16"/>
  <colors>
    <mruColors>
      <color rgb="FF263238"/>
      <color rgb="FFDCEB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US" b="0">
                <a:solidFill>
                  <a:srgbClr val="757575"/>
                </a:solidFill>
                <a:latin typeface="+mn-lt"/>
              </a:rPr>
              <a:t>Revenue and EBITDA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Revenue</c:v>
          </c:tx>
          <c:spPr>
            <a:ln cmpd="sng">
              <a:solidFill>
                <a:srgbClr val="15608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'Exec Sum'!$B$26:$B$37</c:f>
              <c:strCache>
                <c:ptCount val="12"/>
                <c:pt idx="0">
                  <c:v>Jan-27</c:v>
                </c:pt>
                <c:pt idx="1">
                  <c:v>Feb-27</c:v>
                </c:pt>
                <c:pt idx="2">
                  <c:v>Mar-27</c:v>
                </c:pt>
                <c:pt idx="3">
                  <c:v>Apr-27</c:v>
                </c:pt>
                <c:pt idx="4">
                  <c:v>May-27</c:v>
                </c:pt>
                <c:pt idx="5">
                  <c:v>Jun-27</c:v>
                </c:pt>
                <c:pt idx="6">
                  <c:v>Jul-27</c:v>
                </c:pt>
                <c:pt idx="7">
                  <c:v>Aug-27</c:v>
                </c:pt>
                <c:pt idx="8">
                  <c:v>Sep-27</c:v>
                </c:pt>
                <c:pt idx="9">
                  <c:v>Oct-27</c:v>
                </c:pt>
                <c:pt idx="10">
                  <c:v>Nov-27</c:v>
                </c:pt>
                <c:pt idx="11">
                  <c:v>Dec-27</c:v>
                </c:pt>
              </c:strCache>
            </c:strRef>
          </c:cat>
          <c:val>
            <c:numRef>
              <c:f>'Exec Sum'!$C$26:$C$37</c:f>
              <c:numCache>
                <c:formatCode>\$#,##0;[Red]\(\$#,##0\);\-</c:formatCode>
                <c:ptCount val="12"/>
                <c:pt idx="0">
                  <c:v>627.56481999999994</c:v>
                </c:pt>
                <c:pt idx="1">
                  <c:v>666.87985090672043</c:v>
                </c:pt>
                <c:pt idx="2">
                  <c:v>709.08266623480984</c:v>
                </c:pt>
                <c:pt idx="3">
                  <c:v>755.28398560770722</c:v>
                </c:pt>
                <c:pt idx="4">
                  <c:v>805.76801314032321</c:v>
                </c:pt>
                <c:pt idx="5">
                  <c:v>860.51076118425317</c:v>
                </c:pt>
                <c:pt idx="6">
                  <c:v>919.48838665719552</c:v>
                </c:pt>
                <c:pt idx="7">
                  <c:v>982.67719017579509</c:v>
                </c:pt>
                <c:pt idx="8">
                  <c:v>1050.0536151936892</c:v>
                </c:pt>
                <c:pt idx="9">
                  <c:v>1121.5942471447256</c:v>
                </c:pt>
                <c:pt idx="10">
                  <c:v>1197.2758125913224</c:v>
                </c:pt>
                <c:pt idx="11">
                  <c:v>1277.0751783779358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42-5741-8E4B-6E3EB92E14D0}"/>
            </c:ext>
          </c:extLst>
        </c:ser>
        <c:ser>
          <c:idx val="1"/>
          <c:order val="1"/>
          <c:tx>
            <c:v>EBITDA</c:v>
          </c:tx>
          <c:spPr>
            <a:ln cmpd="sng">
              <a:solidFill>
                <a:srgbClr val="E9713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'Exec Sum'!$B$26:$B$37</c:f>
              <c:strCache>
                <c:ptCount val="12"/>
                <c:pt idx="0">
                  <c:v>Jan-27</c:v>
                </c:pt>
                <c:pt idx="1">
                  <c:v>Feb-27</c:v>
                </c:pt>
                <c:pt idx="2">
                  <c:v>Mar-27</c:v>
                </c:pt>
                <c:pt idx="3">
                  <c:v>Apr-27</c:v>
                </c:pt>
                <c:pt idx="4">
                  <c:v>May-27</c:v>
                </c:pt>
                <c:pt idx="5">
                  <c:v>Jun-27</c:v>
                </c:pt>
                <c:pt idx="6">
                  <c:v>Jul-27</c:v>
                </c:pt>
                <c:pt idx="7">
                  <c:v>Aug-27</c:v>
                </c:pt>
                <c:pt idx="8">
                  <c:v>Sep-27</c:v>
                </c:pt>
                <c:pt idx="9">
                  <c:v>Oct-27</c:v>
                </c:pt>
                <c:pt idx="10">
                  <c:v>Nov-27</c:v>
                </c:pt>
                <c:pt idx="11">
                  <c:v>Dec-27</c:v>
                </c:pt>
              </c:strCache>
            </c:strRef>
          </c:cat>
          <c:val>
            <c:numRef>
              <c:f>'Exec Sum'!$D$26:$D$37</c:f>
              <c:numCache>
                <c:formatCode>\$#,##0;[Red]\(\$#,##0\);\-</c:formatCode>
                <c:ptCount val="12"/>
                <c:pt idx="0">
                  <c:v>-635.56739760000005</c:v>
                </c:pt>
                <c:pt idx="1">
                  <c:v>-639.20419895648934</c:v>
                </c:pt>
                <c:pt idx="2">
                  <c:v>-640.48007442725589</c:v>
                </c:pt>
                <c:pt idx="3">
                  <c:v>-638.48285772844133</c:v>
                </c:pt>
                <c:pt idx="4">
                  <c:v>-632.75849314753577</c:v>
                </c:pt>
                <c:pt idx="5">
                  <c:v>-623.32794251937719</c:v>
                </c:pt>
                <c:pt idx="6">
                  <c:v>-610.21204138282201</c:v>
                </c:pt>
                <c:pt idx="7">
                  <c:v>-593.43149973831976</c:v>
                </c:pt>
                <c:pt idx="8">
                  <c:v>-573.00690280095171</c:v>
                </c:pt>
                <c:pt idx="9">
                  <c:v>-548.95871174894319</c:v>
                </c:pt>
                <c:pt idx="10">
                  <c:v>-521.30726446768836</c:v>
                </c:pt>
                <c:pt idx="11">
                  <c:v>-490.07277628931001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42-5741-8E4B-6E3EB92E1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40160722"/>
        <c:axId val="950082193"/>
      </c:lineChart>
      <c:catAx>
        <c:axId val="184016072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1" i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950082193"/>
        <c:crosses val="autoZero"/>
        <c:auto val="1"/>
        <c:lblAlgn val="ctr"/>
        <c:lblOffset val="100"/>
        <c:noMultiLvlLbl val="1"/>
      </c:catAx>
      <c:valAx>
        <c:axId val="95008219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\$0.0,&quot;M&quot;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1" i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1840160722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Arial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US" b="0">
                <a:solidFill>
                  <a:srgbClr val="757575"/>
                </a:solidFill>
                <a:latin typeface="+mn-lt"/>
              </a:rPr>
              <a:t>Ending cash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Ending cash</c:v>
          </c:tx>
          <c:spPr>
            <a:ln cmpd="sng">
              <a:solidFill>
                <a:srgbClr val="15608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'Exec Sum'!$B$40:$B$51</c:f>
              <c:strCache>
                <c:ptCount val="12"/>
                <c:pt idx="0">
                  <c:v>Jan-27</c:v>
                </c:pt>
                <c:pt idx="1">
                  <c:v>Feb-27</c:v>
                </c:pt>
                <c:pt idx="2">
                  <c:v>Mar-27</c:v>
                </c:pt>
                <c:pt idx="3">
                  <c:v>Apr-27</c:v>
                </c:pt>
                <c:pt idx="4">
                  <c:v>May-27</c:v>
                </c:pt>
                <c:pt idx="5">
                  <c:v>Jun-27</c:v>
                </c:pt>
                <c:pt idx="6">
                  <c:v>Jul-27</c:v>
                </c:pt>
                <c:pt idx="7">
                  <c:v>Aug-27</c:v>
                </c:pt>
                <c:pt idx="8">
                  <c:v>Sep-27</c:v>
                </c:pt>
                <c:pt idx="9">
                  <c:v>Oct-27</c:v>
                </c:pt>
                <c:pt idx="10">
                  <c:v>Nov-27</c:v>
                </c:pt>
                <c:pt idx="11">
                  <c:v>Dec-27</c:v>
                </c:pt>
              </c:strCache>
            </c:strRef>
          </c:cat>
          <c:val>
            <c:numRef>
              <c:f>'Exec Sum'!$C$40:$C$51</c:f>
              <c:numCache>
                <c:formatCode>\$#,##0;[Red]\(\$#,##0\);\-</c:formatCode>
                <c:ptCount val="12"/>
                <c:pt idx="0">
                  <c:v>4427.7870627508773</c:v>
                </c:pt>
                <c:pt idx="1">
                  <c:v>4040.044318442212</c:v>
                </c:pt>
                <c:pt idx="2">
                  <c:v>3646.2752665000457</c:v>
                </c:pt>
                <c:pt idx="3">
                  <c:v>3258.3848750978659</c:v>
                </c:pt>
                <c:pt idx="4">
                  <c:v>2874.9009907342006</c:v>
                </c:pt>
                <c:pt idx="5">
                  <c:v>2494.9772915572917</c:v>
                </c:pt>
                <c:pt idx="6">
                  <c:v>2117.7722256870011</c:v>
                </c:pt>
                <c:pt idx="7">
                  <c:v>1742.4489824795949</c:v>
                </c:pt>
                <c:pt idx="8">
                  <c:v>1368.1754639648798</c:v>
                </c:pt>
                <c:pt idx="9">
                  <c:v>994.12425645469227</c:v>
                </c:pt>
                <c:pt idx="10">
                  <c:v>619.47260232167775</c:v>
                </c:pt>
                <c:pt idx="11">
                  <c:v>243.40237194736096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E9-0146-8411-27338FBAB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296731"/>
        <c:axId val="1423862269"/>
      </c:lineChart>
      <c:catAx>
        <c:axId val="3882967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1" i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1423862269"/>
        <c:crosses val="autoZero"/>
        <c:auto val="1"/>
        <c:lblAlgn val="ctr"/>
        <c:lblOffset val="100"/>
        <c:noMultiLvlLbl val="1"/>
      </c:catAx>
      <c:valAx>
        <c:axId val="14238622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\$0.0,&quot;M&quot;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1" i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388296731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24</xdr:row>
      <xdr:rowOff>0</xdr:rowOff>
    </xdr:from>
    <xdr:ext cx="8229600" cy="2228850"/>
    <xdr:graphicFrame macro="">
      <xdr:nvGraphicFramePr>
        <xdr:cNvPr id="1347140607" name="Chart 1">
          <a:extLst>
            <a:ext uri="{FF2B5EF4-FFF2-40B4-BE49-F238E27FC236}">
              <a16:creationId xmlns:a16="http://schemas.microsoft.com/office/drawing/2014/main" id="{00000000-0008-0000-0D00-0000FFBB4B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0</xdr:colOff>
      <xdr:row>38</xdr:row>
      <xdr:rowOff>0</xdr:rowOff>
    </xdr:from>
    <xdr:ext cx="8229600" cy="2228850"/>
    <xdr:graphicFrame macro="">
      <xdr:nvGraphicFramePr>
        <xdr:cNvPr id="708360166" name="Chart 2">
          <a:extLst>
            <a:ext uri="{FF2B5EF4-FFF2-40B4-BE49-F238E27FC236}">
              <a16:creationId xmlns:a16="http://schemas.microsoft.com/office/drawing/2014/main" id="{00000000-0008-0000-0D00-0000E6B738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CEBEC"/>
  </sheetPr>
  <dimension ref="B2:I999"/>
  <sheetViews>
    <sheetView showGridLines="0" workbookViewId="0">
      <selection activeCell="B23" sqref="B23:N23"/>
    </sheetView>
  </sheetViews>
  <sheetFormatPr baseColWidth="10" defaultColWidth="12.6640625" defaultRowHeight="15" customHeight="1" x14ac:dyDescent="0.2"/>
  <cols>
    <col min="1" max="1" width="3.33203125" style="51" customWidth="1"/>
    <col min="2" max="2" width="20" style="51" customWidth="1"/>
    <col min="3" max="3" width="71.5" style="51" customWidth="1"/>
    <col min="4" max="9" width="18.5" style="51" customWidth="1"/>
    <col min="10" max="27" width="8.83203125" style="51" customWidth="1"/>
    <col min="28" max="16384" width="12.6640625" style="51"/>
  </cols>
  <sheetData>
    <row r="2" spans="2:9" ht="13.5" customHeight="1" x14ac:dyDescent="0.2">
      <c r="B2" s="57" t="s">
        <v>0</v>
      </c>
      <c r="C2" s="58"/>
      <c r="D2" s="58"/>
      <c r="E2" s="58"/>
      <c r="F2" s="58"/>
      <c r="G2" s="58"/>
      <c r="H2" s="58"/>
      <c r="I2" s="59"/>
    </row>
    <row r="3" spans="2:9" ht="13.5" customHeight="1" x14ac:dyDescent="0.2">
      <c r="B3" s="60"/>
      <c r="C3" s="61"/>
      <c r="D3" s="61"/>
      <c r="E3" s="61"/>
      <c r="F3" s="61"/>
      <c r="G3" s="61"/>
      <c r="H3" s="61"/>
      <c r="I3" s="62"/>
    </row>
    <row r="4" spans="2:9" ht="13.5" customHeight="1" x14ac:dyDescent="0.2">
      <c r="B4" s="69" t="s">
        <v>1</v>
      </c>
      <c r="C4" s="67"/>
      <c r="D4" s="67"/>
      <c r="E4" s="67"/>
      <c r="F4" s="67"/>
      <c r="G4" s="67"/>
      <c r="H4" s="67"/>
      <c r="I4" s="68"/>
    </row>
    <row r="5" spans="2:9" ht="13.5" customHeight="1" x14ac:dyDescent="0.2">
      <c r="B5" s="52"/>
      <c r="C5" s="52"/>
      <c r="D5" s="52"/>
      <c r="E5" s="52"/>
      <c r="F5" s="52"/>
      <c r="G5" s="52"/>
      <c r="H5" s="52"/>
      <c r="I5" s="52"/>
    </row>
    <row r="6" spans="2:9" ht="13.5" customHeight="1" x14ac:dyDescent="0.2">
      <c r="B6" s="1" t="s">
        <v>2</v>
      </c>
      <c r="C6" s="2" t="s">
        <v>3</v>
      </c>
      <c r="D6" s="52"/>
      <c r="E6" s="52"/>
      <c r="F6" s="52"/>
      <c r="G6" s="52"/>
      <c r="H6" s="52"/>
      <c r="I6" s="52"/>
    </row>
    <row r="7" spans="2:9" ht="13.5" customHeight="1" x14ac:dyDescent="0.2">
      <c r="B7" s="1" t="s">
        <v>4</v>
      </c>
      <c r="C7" s="2" t="s">
        <v>5</v>
      </c>
      <c r="D7" s="52"/>
      <c r="E7" s="52"/>
      <c r="F7" s="52"/>
      <c r="G7" s="52"/>
      <c r="H7" s="52"/>
      <c r="I7" s="52"/>
    </row>
    <row r="8" spans="2:9" ht="13.5" customHeight="1" x14ac:dyDescent="0.2">
      <c r="B8" s="1" t="s">
        <v>6</v>
      </c>
      <c r="C8" s="2" t="s">
        <v>7</v>
      </c>
      <c r="D8" s="52"/>
      <c r="E8" s="52"/>
      <c r="F8" s="52"/>
      <c r="G8" s="52"/>
      <c r="H8" s="52"/>
      <c r="I8" s="52"/>
    </row>
    <row r="9" spans="2:9" ht="13.5" customHeight="1" x14ac:dyDescent="0.2">
      <c r="B9" s="1" t="s">
        <v>8</v>
      </c>
      <c r="C9" s="2" t="str">
        <f>Assumptions!$C$5</f>
        <v>Base</v>
      </c>
      <c r="D9" s="52"/>
      <c r="E9" s="52"/>
      <c r="F9" s="52"/>
      <c r="G9" s="52"/>
      <c r="H9" s="52"/>
      <c r="I9" s="52"/>
    </row>
    <row r="10" spans="2:9" ht="13.5" customHeight="1" x14ac:dyDescent="0.2">
      <c r="B10" s="1" t="s">
        <v>9</v>
      </c>
      <c r="C10" s="2" t="s">
        <v>10</v>
      </c>
      <c r="D10" s="52"/>
      <c r="E10" s="52"/>
      <c r="F10" s="52"/>
      <c r="G10" s="52"/>
      <c r="H10" s="52"/>
      <c r="I10" s="52"/>
    </row>
    <row r="11" spans="2:9" ht="13.5" customHeight="1" x14ac:dyDescent="0.2">
      <c r="B11" s="1" t="s">
        <v>11</v>
      </c>
      <c r="C11" s="2" t="s">
        <v>12</v>
      </c>
      <c r="D11" s="52"/>
      <c r="E11" s="52"/>
      <c r="F11" s="52"/>
      <c r="G11" s="52"/>
      <c r="H11" s="52"/>
      <c r="I11" s="52"/>
    </row>
    <row r="12" spans="2:9" ht="13.5" customHeight="1" x14ac:dyDescent="0.2">
      <c r="B12" s="1" t="s">
        <v>13</v>
      </c>
      <c r="C12" s="2" t="s">
        <v>14</v>
      </c>
      <c r="D12" s="52"/>
      <c r="E12" s="52"/>
      <c r="F12" s="52"/>
      <c r="G12" s="52"/>
      <c r="H12" s="52"/>
      <c r="I12" s="52"/>
    </row>
    <row r="13" spans="2:9" ht="13.5" customHeight="1" x14ac:dyDescent="0.2">
      <c r="B13" s="1" t="s">
        <v>15</v>
      </c>
      <c r="C13" s="2" t="str">
        <f>'Exec Sum'!$C$6</f>
        <v>PASS</v>
      </c>
      <c r="D13" s="52"/>
      <c r="E13" s="52"/>
      <c r="F13" s="52"/>
      <c r="G13" s="52"/>
      <c r="H13" s="52"/>
      <c r="I13" s="52"/>
    </row>
    <row r="14" spans="2:9" ht="13.5" customHeight="1" x14ac:dyDescent="0.2">
      <c r="B14" s="1" t="s">
        <v>16</v>
      </c>
      <c r="C14" s="2" t="s">
        <v>17</v>
      </c>
      <c r="D14" s="52"/>
      <c r="E14" s="52"/>
      <c r="F14" s="52"/>
      <c r="G14" s="52"/>
      <c r="H14" s="52"/>
      <c r="I14" s="52"/>
    </row>
    <row r="15" spans="2:9" ht="13.5" customHeight="1" x14ac:dyDescent="0.2">
      <c r="B15" s="52"/>
      <c r="C15" s="52"/>
      <c r="D15" s="52"/>
      <c r="E15" s="52"/>
      <c r="F15" s="52"/>
      <c r="G15" s="52"/>
      <c r="H15" s="52"/>
      <c r="I15" s="52"/>
    </row>
    <row r="16" spans="2:9" ht="13.5" customHeight="1" x14ac:dyDescent="0.2">
      <c r="B16" s="66" t="s">
        <v>18</v>
      </c>
      <c r="C16" s="67"/>
      <c r="D16" s="67"/>
      <c r="E16" s="67"/>
      <c r="F16" s="67"/>
      <c r="G16" s="67"/>
      <c r="H16" s="67"/>
      <c r="I16" s="68"/>
    </row>
    <row r="17" spans="2:9" ht="33.75" customHeight="1" x14ac:dyDescent="0.2">
      <c r="B17" s="46">
        <v>1</v>
      </c>
      <c r="C17" s="63" t="s">
        <v>19</v>
      </c>
      <c r="D17" s="64"/>
      <c r="E17" s="64"/>
      <c r="F17" s="64"/>
      <c r="G17" s="64"/>
      <c r="H17" s="64"/>
      <c r="I17" s="65"/>
    </row>
    <row r="18" spans="2:9" ht="33.75" customHeight="1" x14ac:dyDescent="0.2">
      <c r="B18" s="46">
        <f>B17+1</f>
        <v>2</v>
      </c>
      <c r="C18" s="63" t="s">
        <v>20</v>
      </c>
      <c r="D18" s="64"/>
      <c r="E18" s="64"/>
      <c r="F18" s="64"/>
      <c r="G18" s="64"/>
      <c r="H18" s="64"/>
      <c r="I18" s="65"/>
    </row>
    <row r="19" spans="2:9" ht="33.75" customHeight="1" x14ac:dyDescent="0.2">
      <c r="B19" s="46">
        <f t="shared" ref="B19:B22" si="0">B18+1</f>
        <v>3</v>
      </c>
      <c r="C19" s="63" t="s">
        <v>21</v>
      </c>
      <c r="D19" s="64"/>
      <c r="E19" s="64"/>
      <c r="F19" s="64"/>
      <c r="G19" s="64"/>
      <c r="H19" s="64"/>
      <c r="I19" s="65"/>
    </row>
    <row r="20" spans="2:9" ht="33.75" customHeight="1" x14ac:dyDescent="0.2">
      <c r="B20" s="46">
        <f t="shared" si="0"/>
        <v>4</v>
      </c>
      <c r="C20" s="63" t="s">
        <v>22</v>
      </c>
      <c r="D20" s="64"/>
      <c r="E20" s="64"/>
      <c r="F20" s="64"/>
      <c r="G20" s="64"/>
      <c r="H20" s="64"/>
      <c r="I20" s="65"/>
    </row>
    <row r="21" spans="2:9" ht="33.75" customHeight="1" x14ac:dyDescent="0.2">
      <c r="B21" s="46">
        <f t="shared" si="0"/>
        <v>5</v>
      </c>
      <c r="C21" s="63" t="s">
        <v>23</v>
      </c>
      <c r="D21" s="64"/>
      <c r="E21" s="64"/>
      <c r="F21" s="64"/>
      <c r="G21" s="64"/>
      <c r="H21" s="64"/>
      <c r="I21" s="65"/>
    </row>
    <row r="22" spans="2:9" ht="33.75" customHeight="1" x14ac:dyDescent="0.2">
      <c r="B22" s="46">
        <f t="shared" si="0"/>
        <v>6</v>
      </c>
      <c r="C22" s="63" t="s">
        <v>24</v>
      </c>
      <c r="D22" s="64"/>
      <c r="E22" s="64"/>
      <c r="F22" s="64"/>
      <c r="G22" s="64"/>
      <c r="H22" s="64"/>
      <c r="I22" s="65"/>
    </row>
    <row r="23" spans="2:9" ht="13.5" customHeight="1" x14ac:dyDescent="0.2">
      <c r="B23" s="52"/>
      <c r="C23" s="52"/>
      <c r="D23" s="52"/>
      <c r="E23" s="52"/>
      <c r="F23" s="52"/>
      <c r="G23" s="52"/>
      <c r="H23" s="52"/>
      <c r="I23" s="52"/>
    </row>
    <row r="24" spans="2:9" ht="13.5" customHeight="1" x14ac:dyDescent="0.2">
      <c r="B24" s="66" t="s">
        <v>25</v>
      </c>
      <c r="C24" s="67"/>
      <c r="D24" s="67"/>
      <c r="E24" s="67"/>
      <c r="F24" s="67"/>
      <c r="G24" s="67"/>
      <c r="H24" s="67"/>
      <c r="I24" s="68"/>
    </row>
    <row r="25" spans="2:9" ht="26" x14ac:dyDescent="0.2">
      <c r="B25" s="45" t="s">
        <v>26</v>
      </c>
      <c r="C25" s="45" t="s">
        <v>27</v>
      </c>
      <c r="D25" s="45" t="s">
        <v>28</v>
      </c>
      <c r="E25" s="45" t="s">
        <v>29</v>
      </c>
      <c r="F25" s="45" t="s">
        <v>30</v>
      </c>
      <c r="G25" s="45" t="s">
        <v>31</v>
      </c>
      <c r="H25" s="45" t="s">
        <v>32</v>
      </c>
      <c r="I25" s="45" t="s">
        <v>33</v>
      </c>
    </row>
    <row r="26" spans="2:9" ht="13.5" customHeight="1" x14ac:dyDescent="0.2">
      <c r="B26" s="2" t="s">
        <v>32</v>
      </c>
      <c r="C26" s="2" t="s">
        <v>34</v>
      </c>
      <c r="D26" s="2" t="s">
        <v>35</v>
      </c>
      <c r="E26" s="2" t="s">
        <v>36</v>
      </c>
      <c r="F26" s="2" t="s">
        <v>37</v>
      </c>
      <c r="G26" s="2" t="s">
        <v>38</v>
      </c>
      <c r="H26" s="2" t="s">
        <v>39</v>
      </c>
      <c r="I26" s="2" t="s">
        <v>40</v>
      </c>
    </row>
    <row r="27" spans="2:9" ht="13.5" customHeight="1" x14ac:dyDescent="0.2">
      <c r="B27" s="2" t="s">
        <v>41</v>
      </c>
      <c r="C27" s="2" t="s">
        <v>42</v>
      </c>
      <c r="D27" s="2" t="s">
        <v>43</v>
      </c>
      <c r="E27" s="2" t="s">
        <v>44</v>
      </c>
      <c r="F27" s="2" t="s">
        <v>45</v>
      </c>
      <c r="G27" s="2" t="s">
        <v>46</v>
      </c>
      <c r="H27" s="2" t="s">
        <v>47</v>
      </c>
      <c r="I27" s="2" t="s">
        <v>48</v>
      </c>
    </row>
    <row r="28" spans="2:9" ht="13.5" customHeight="1" x14ac:dyDescent="0.2">
      <c r="B28" s="2" t="s">
        <v>49</v>
      </c>
      <c r="C28" s="2" t="s">
        <v>50</v>
      </c>
      <c r="D28" s="2" t="s">
        <v>51</v>
      </c>
      <c r="E28" s="2" t="s">
        <v>52</v>
      </c>
      <c r="F28" s="2" t="s">
        <v>53</v>
      </c>
      <c r="G28" s="2" t="s">
        <v>54</v>
      </c>
      <c r="H28" s="2" t="s">
        <v>55</v>
      </c>
      <c r="I28" s="2" t="s">
        <v>56</v>
      </c>
    </row>
    <row r="29" spans="2:9" ht="13.5" customHeight="1" x14ac:dyDescent="0.2">
      <c r="B29" s="2" t="s">
        <v>57</v>
      </c>
      <c r="C29" s="2" t="s">
        <v>58</v>
      </c>
      <c r="D29" s="2" t="s">
        <v>57</v>
      </c>
      <c r="E29" s="2" t="s">
        <v>59</v>
      </c>
      <c r="F29" s="2" t="s">
        <v>57</v>
      </c>
      <c r="G29" s="2" t="s">
        <v>60</v>
      </c>
      <c r="H29" s="2" t="s">
        <v>61</v>
      </c>
      <c r="I29" s="2" t="s">
        <v>62</v>
      </c>
    </row>
    <row r="30" spans="2:9" ht="13.5" customHeight="1" x14ac:dyDescent="0.2">
      <c r="B30" s="2" t="s">
        <v>63</v>
      </c>
      <c r="C30" s="2" t="s">
        <v>64</v>
      </c>
      <c r="D30" s="2" t="s">
        <v>65</v>
      </c>
      <c r="E30" s="2" t="s">
        <v>66</v>
      </c>
      <c r="F30" s="2" t="s">
        <v>67</v>
      </c>
      <c r="G30" s="2" t="s">
        <v>68</v>
      </c>
      <c r="H30" s="2" t="s">
        <v>69</v>
      </c>
      <c r="I30" s="2" t="s">
        <v>70</v>
      </c>
    </row>
    <row r="31" spans="2:9" ht="13.5" customHeight="1" x14ac:dyDescent="0.2">
      <c r="B31" s="52"/>
      <c r="C31" s="52"/>
      <c r="D31" s="52"/>
      <c r="E31" s="52"/>
      <c r="F31" s="52"/>
      <c r="G31" s="52"/>
      <c r="H31" s="52"/>
      <c r="I31" s="52"/>
    </row>
    <row r="32" spans="2:9" ht="13.5" customHeight="1" x14ac:dyDescent="0.2"/>
    <row r="33" s="51" customFormat="1" ht="13.5" customHeight="1" x14ac:dyDescent="0.2"/>
    <row r="34" s="51" customFormat="1" ht="13.5" customHeight="1" x14ac:dyDescent="0.2"/>
    <row r="35" s="51" customFormat="1" ht="13.5" customHeight="1" x14ac:dyDescent="0.2"/>
    <row r="36" s="51" customFormat="1" ht="13.5" customHeight="1" x14ac:dyDescent="0.2"/>
    <row r="37" s="51" customFormat="1" ht="13.5" customHeight="1" x14ac:dyDescent="0.2"/>
    <row r="38" s="51" customFormat="1" ht="13.5" customHeight="1" x14ac:dyDescent="0.2"/>
    <row r="39" s="51" customFormat="1" ht="13.5" customHeight="1" x14ac:dyDescent="0.2"/>
    <row r="40" s="51" customFormat="1" ht="13.5" customHeight="1" x14ac:dyDescent="0.2"/>
    <row r="41" s="51" customFormat="1" ht="13.5" customHeight="1" x14ac:dyDescent="0.2"/>
    <row r="42" s="51" customFormat="1" ht="13.5" customHeight="1" x14ac:dyDescent="0.2"/>
    <row r="43" s="51" customFormat="1" ht="13.5" customHeight="1" x14ac:dyDescent="0.2"/>
    <row r="44" s="51" customFormat="1" ht="13.5" customHeight="1" x14ac:dyDescent="0.2"/>
    <row r="45" s="51" customFormat="1" ht="13.5" customHeight="1" x14ac:dyDescent="0.2"/>
    <row r="46" s="51" customFormat="1" ht="13.5" customHeight="1" x14ac:dyDescent="0.2"/>
    <row r="47" s="51" customFormat="1" ht="13.5" customHeight="1" x14ac:dyDescent="0.2"/>
    <row r="48" s="51" customFormat="1" ht="13.5" customHeight="1" x14ac:dyDescent="0.2"/>
    <row r="49" s="51" customFormat="1" ht="13.5" customHeight="1" x14ac:dyDescent="0.2"/>
    <row r="50" s="51" customFormat="1" ht="13.5" customHeight="1" x14ac:dyDescent="0.2"/>
    <row r="51" s="51" customFormat="1" ht="13.5" customHeight="1" x14ac:dyDescent="0.2"/>
    <row r="52" s="51" customFormat="1" ht="13.5" customHeight="1" x14ac:dyDescent="0.2"/>
    <row r="53" s="51" customFormat="1" ht="13.5" customHeight="1" x14ac:dyDescent="0.2"/>
    <row r="54" s="51" customFormat="1" ht="13.5" customHeight="1" x14ac:dyDescent="0.2"/>
    <row r="55" s="51" customFormat="1" ht="13.5" customHeight="1" x14ac:dyDescent="0.2"/>
    <row r="56" s="51" customFormat="1" ht="13.5" customHeight="1" x14ac:dyDescent="0.2"/>
    <row r="57" s="51" customFormat="1" ht="13.5" customHeight="1" x14ac:dyDescent="0.2"/>
    <row r="58" s="51" customFormat="1" ht="13.5" customHeight="1" x14ac:dyDescent="0.2"/>
    <row r="59" s="51" customFormat="1" ht="13.5" customHeight="1" x14ac:dyDescent="0.2"/>
    <row r="60" s="51" customFormat="1" ht="13.5" customHeight="1" x14ac:dyDescent="0.2"/>
    <row r="61" s="51" customFormat="1" ht="13.5" customHeight="1" x14ac:dyDescent="0.2"/>
    <row r="62" s="51" customFormat="1" ht="13.5" customHeight="1" x14ac:dyDescent="0.2"/>
    <row r="63" s="51" customFormat="1" ht="13.5" customHeight="1" x14ac:dyDescent="0.2"/>
    <row r="64" s="51" customFormat="1" ht="13.5" customHeight="1" x14ac:dyDescent="0.2"/>
    <row r="65" s="51" customFormat="1" ht="13.5" customHeight="1" x14ac:dyDescent="0.2"/>
    <row r="66" s="51" customFormat="1" ht="13.5" customHeight="1" x14ac:dyDescent="0.2"/>
    <row r="67" s="51" customFormat="1" ht="13.5" customHeight="1" x14ac:dyDescent="0.2"/>
    <row r="68" s="51" customFormat="1" ht="13.5" customHeight="1" x14ac:dyDescent="0.2"/>
    <row r="69" s="51" customFormat="1" ht="13.5" customHeight="1" x14ac:dyDescent="0.2"/>
    <row r="70" s="51" customFormat="1" ht="13.5" customHeight="1" x14ac:dyDescent="0.2"/>
    <row r="71" s="51" customFormat="1" ht="13.5" customHeight="1" x14ac:dyDescent="0.2"/>
    <row r="72" s="51" customFormat="1" ht="13.5" customHeight="1" x14ac:dyDescent="0.2"/>
    <row r="73" s="51" customFormat="1" ht="13.5" customHeight="1" x14ac:dyDescent="0.2"/>
    <row r="74" s="51" customFormat="1" ht="13.5" customHeight="1" x14ac:dyDescent="0.2"/>
    <row r="75" s="51" customFormat="1" ht="13.5" customHeight="1" x14ac:dyDescent="0.2"/>
    <row r="76" s="51" customFormat="1" ht="13.5" customHeight="1" x14ac:dyDescent="0.2"/>
    <row r="77" s="51" customFormat="1" ht="13.5" customHeight="1" x14ac:dyDescent="0.2"/>
    <row r="78" s="51" customFormat="1" ht="13.5" customHeight="1" x14ac:dyDescent="0.2"/>
    <row r="79" s="51" customFormat="1" ht="13.5" customHeight="1" x14ac:dyDescent="0.2"/>
    <row r="80" s="51" customFormat="1" ht="13.5" customHeight="1" x14ac:dyDescent="0.2"/>
    <row r="81" s="51" customFormat="1" ht="13.5" customHeight="1" x14ac:dyDescent="0.2"/>
    <row r="82" s="51" customFormat="1" ht="13.5" customHeight="1" x14ac:dyDescent="0.2"/>
    <row r="83" s="51" customFormat="1" ht="13.5" customHeight="1" x14ac:dyDescent="0.2"/>
    <row r="84" s="51" customFormat="1" ht="13.5" customHeight="1" x14ac:dyDescent="0.2"/>
    <row r="85" s="51" customFormat="1" ht="13.5" customHeight="1" x14ac:dyDescent="0.2"/>
    <row r="86" s="51" customFormat="1" ht="13.5" customHeight="1" x14ac:dyDescent="0.2"/>
    <row r="87" s="51" customFormat="1" ht="13.5" customHeight="1" x14ac:dyDescent="0.2"/>
    <row r="88" s="51" customFormat="1" ht="13.5" customHeight="1" x14ac:dyDescent="0.2"/>
    <row r="89" s="51" customFormat="1" ht="13.5" customHeight="1" x14ac:dyDescent="0.2"/>
    <row r="90" s="51" customFormat="1" ht="13.5" customHeight="1" x14ac:dyDescent="0.2"/>
    <row r="91" s="51" customFormat="1" ht="13.5" customHeight="1" x14ac:dyDescent="0.2"/>
    <row r="92" s="51" customFormat="1" ht="13.5" customHeight="1" x14ac:dyDescent="0.2"/>
    <row r="93" s="51" customFormat="1" ht="13.5" customHeight="1" x14ac:dyDescent="0.2"/>
    <row r="94" s="51" customFormat="1" ht="13.5" customHeight="1" x14ac:dyDescent="0.2"/>
    <row r="95" s="51" customFormat="1" ht="13.5" customHeight="1" x14ac:dyDescent="0.2"/>
    <row r="96" s="51" customFormat="1" ht="13.5" customHeight="1" x14ac:dyDescent="0.2"/>
    <row r="97" s="51" customFormat="1" ht="13.5" customHeight="1" x14ac:dyDescent="0.2"/>
    <row r="98" s="51" customFormat="1" ht="13.5" customHeight="1" x14ac:dyDescent="0.2"/>
    <row r="99" s="51" customFormat="1" ht="13.5" customHeight="1" x14ac:dyDescent="0.2"/>
    <row r="100" s="51" customFormat="1" ht="13.5" customHeight="1" x14ac:dyDescent="0.2"/>
    <row r="101" s="51" customFormat="1" ht="13.5" customHeight="1" x14ac:dyDescent="0.2"/>
    <row r="102" s="51" customFormat="1" ht="13.5" customHeight="1" x14ac:dyDescent="0.2"/>
    <row r="103" s="51" customFormat="1" ht="13.5" customHeight="1" x14ac:dyDescent="0.2"/>
    <row r="104" s="51" customFormat="1" ht="13.5" customHeight="1" x14ac:dyDescent="0.2"/>
    <row r="105" s="51" customFormat="1" ht="13.5" customHeight="1" x14ac:dyDescent="0.2"/>
    <row r="106" s="51" customFormat="1" ht="13.5" customHeight="1" x14ac:dyDescent="0.2"/>
    <row r="107" s="51" customFormat="1" ht="13.5" customHeight="1" x14ac:dyDescent="0.2"/>
    <row r="108" s="51" customFormat="1" ht="13.5" customHeight="1" x14ac:dyDescent="0.2"/>
    <row r="109" s="51" customFormat="1" ht="13.5" customHeight="1" x14ac:dyDescent="0.2"/>
    <row r="110" s="51" customFormat="1" ht="13.5" customHeight="1" x14ac:dyDescent="0.2"/>
    <row r="111" s="51" customFormat="1" ht="13.5" customHeight="1" x14ac:dyDescent="0.2"/>
    <row r="112" s="51" customFormat="1" ht="13.5" customHeight="1" x14ac:dyDescent="0.2"/>
    <row r="113" s="51" customFormat="1" ht="13.5" customHeight="1" x14ac:dyDescent="0.2"/>
    <row r="114" s="51" customFormat="1" ht="13.5" customHeight="1" x14ac:dyDescent="0.2"/>
    <row r="115" s="51" customFormat="1" ht="13.5" customHeight="1" x14ac:dyDescent="0.2"/>
    <row r="116" s="51" customFormat="1" ht="13.5" customHeight="1" x14ac:dyDescent="0.2"/>
    <row r="117" s="51" customFormat="1" ht="13.5" customHeight="1" x14ac:dyDescent="0.2"/>
    <row r="118" s="51" customFormat="1" ht="13.5" customHeight="1" x14ac:dyDescent="0.2"/>
    <row r="119" s="51" customFormat="1" ht="13.5" customHeight="1" x14ac:dyDescent="0.2"/>
    <row r="120" s="51" customFormat="1" ht="13.5" customHeight="1" x14ac:dyDescent="0.2"/>
    <row r="121" s="51" customFormat="1" ht="13.5" customHeight="1" x14ac:dyDescent="0.2"/>
    <row r="122" s="51" customFormat="1" ht="13.5" customHeight="1" x14ac:dyDescent="0.2"/>
    <row r="123" s="51" customFormat="1" ht="13.5" customHeight="1" x14ac:dyDescent="0.2"/>
    <row r="124" s="51" customFormat="1" ht="13.5" customHeight="1" x14ac:dyDescent="0.2"/>
    <row r="125" s="51" customFormat="1" ht="13.5" customHeight="1" x14ac:dyDescent="0.2"/>
    <row r="126" s="51" customFormat="1" ht="13.5" customHeight="1" x14ac:dyDescent="0.2"/>
    <row r="127" s="51" customFormat="1" ht="13.5" customHeight="1" x14ac:dyDescent="0.2"/>
    <row r="128" s="51" customFormat="1" ht="13.5" customHeight="1" x14ac:dyDescent="0.2"/>
    <row r="129" s="51" customFormat="1" ht="13.5" customHeight="1" x14ac:dyDescent="0.2"/>
    <row r="130" s="51" customFormat="1" ht="13.5" customHeight="1" x14ac:dyDescent="0.2"/>
    <row r="131" s="51" customFormat="1" ht="13.5" customHeight="1" x14ac:dyDescent="0.2"/>
    <row r="132" s="51" customFormat="1" ht="13.5" customHeight="1" x14ac:dyDescent="0.2"/>
    <row r="133" s="51" customFormat="1" ht="13.5" customHeight="1" x14ac:dyDescent="0.2"/>
    <row r="134" s="51" customFormat="1" ht="13.5" customHeight="1" x14ac:dyDescent="0.2"/>
    <row r="135" s="51" customFormat="1" ht="13.5" customHeight="1" x14ac:dyDescent="0.2"/>
    <row r="136" s="51" customFormat="1" ht="13.5" customHeight="1" x14ac:dyDescent="0.2"/>
    <row r="137" s="51" customFormat="1" ht="13.5" customHeight="1" x14ac:dyDescent="0.2"/>
    <row r="138" s="51" customFormat="1" ht="13.5" customHeight="1" x14ac:dyDescent="0.2"/>
    <row r="139" s="51" customFormat="1" ht="13.5" customHeight="1" x14ac:dyDescent="0.2"/>
    <row r="140" s="51" customFormat="1" ht="13.5" customHeight="1" x14ac:dyDescent="0.2"/>
    <row r="141" s="51" customFormat="1" ht="13.5" customHeight="1" x14ac:dyDescent="0.2"/>
    <row r="142" s="51" customFormat="1" ht="13.5" customHeight="1" x14ac:dyDescent="0.2"/>
    <row r="143" s="51" customFormat="1" ht="13.5" customHeight="1" x14ac:dyDescent="0.2"/>
    <row r="144" s="51" customFormat="1" ht="13.5" customHeight="1" x14ac:dyDescent="0.2"/>
    <row r="145" s="51" customFormat="1" ht="13.5" customHeight="1" x14ac:dyDescent="0.2"/>
    <row r="146" s="51" customFormat="1" ht="13.5" customHeight="1" x14ac:dyDescent="0.2"/>
    <row r="147" s="51" customFormat="1" ht="13.5" customHeight="1" x14ac:dyDescent="0.2"/>
    <row r="148" s="51" customFormat="1" ht="13.5" customHeight="1" x14ac:dyDescent="0.2"/>
    <row r="149" s="51" customFormat="1" ht="13.5" customHeight="1" x14ac:dyDescent="0.2"/>
    <row r="150" s="51" customFormat="1" ht="13.5" customHeight="1" x14ac:dyDescent="0.2"/>
    <row r="151" s="51" customFormat="1" ht="13.5" customHeight="1" x14ac:dyDescent="0.2"/>
    <row r="152" s="51" customFormat="1" ht="13.5" customHeight="1" x14ac:dyDescent="0.2"/>
    <row r="153" s="51" customFormat="1" ht="13.5" customHeight="1" x14ac:dyDescent="0.2"/>
    <row r="154" s="51" customFormat="1" ht="13.5" customHeight="1" x14ac:dyDescent="0.2"/>
    <row r="155" s="51" customFormat="1" ht="13.5" customHeight="1" x14ac:dyDescent="0.2"/>
    <row r="156" s="51" customFormat="1" ht="13.5" customHeight="1" x14ac:dyDescent="0.2"/>
    <row r="157" s="51" customFormat="1" ht="13.5" customHeight="1" x14ac:dyDescent="0.2"/>
    <row r="158" s="51" customFormat="1" ht="13.5" customHeight="1" x14ac:dyDescent="0.2"/>
    <row r="159" s="51" customFormat="1" ht="13.5" customHeight="1" x14ac:dyDescent="0.2"/>
    <row r="160" s="51" customFormat="1" ht="13.5" customHeight="1" x14ac:dyDescent="0.2"/>
    <row r="161" s="51" customFormat="1" ht="13.5" customHeight="1" x14ac:dyDescent="0.2"/>
    <row r="162" s="51" customFormat="1" ht="13.5" customHeight="1" x14ac:dyDescent="0.2"/>
    <row r="163" s="51" customFormat="1" ht="13.5" customHeight="1" x14ac:dyDescent="0.2"/>
    <row r="164" s="51" customFormat="1" ht="13.5" customHeight="1" x14ac:dyDescent="0.2"/>
    <row r="165" s="51" customFormat="1" ht="13.5" customHeight="1" x14ac:dyDescent="0.2"/>
    <row r="166" s="51" customFormat="1" ht="13.5" customHeight="1" x14ac:dyDescent="0.2"/>
    <row r="167" s="51" customFormat="1" ht="13.5" customHeight="1" x14ac:dyDescent="0.2"/>
    <row r="168" s="51" customFormat="1" ht="13.5" customHeight="1" x14ac:dyDescent="0.2"/>
    <row r="169" s="51" customFormat="1" ht="13.5" customHeight="1" x14ac:dyDescent="0.2"/>
    <row r="170" s="51" customFormat="1" ht="13.5" customHeight="1" x14ac:dyDescent="0.2"/>
    <row r="171" s="51" customFormat="1" ht="13.5" customHeight="1" x14ac:dyDescent="0.2"/>
    <row r="172" s="51" customFormat="1" ht="13.5" customHeight="1" x14ac:dyDescent="0.2"/>
    <row r="173" s="51" customFormat="1" ht="13.5" customHeight="1" x14ac:dyDescent="0.2"/>
    <row r="174" s="51" customFormat="1" ht="13.5" customHeight="1" x14ac:dyDescent="0.2"/>
    <row r="175" s="51" customFormat="1" ht="13.5" customHeight="1" x14ac:dyDescent="0.2"/>
    <row r="176" s="51" customFormat="1" ht="13.5" customHeight="1" x14ac:dyDescent="0.2"/>
    <row r="177" s="51" customFormat="1" ht="13.5" customHeight="1" x14ac:dyDescent="0.2"/>
    <row r="178" s="51" customFormat="1" ht="13.5" customHeight="1" x14ac:dyDescent="0.2"/>
    <row r="179" s="51" customFormat="1" ht="13.5" customHeight="1" x14ac:dyDescent="0.2"/>
    <row r="180" s="51" customFormat="1" ht="13.5" customHeight="1" x14ac:dyDescent="0.2"/>
    <row r="181" s="51" customFormat="1" ht="13.5" customHeight="1" x14ac:dyDescent="0.2"/>
    <row r="182" s="51" customFormat="1" ht="13.5" customHeight="1" x14ac:dyDescent="0.2"/>
    <row r="183" s="51" customFormat="1" ht="13.5" customHeight="1" x14ac:dyDescent="0.2"/>
    <row r="184" s="51" customFormat="1" ht="13.5" customHeight="1" x14ac:dyDescent="0.2"/>
    <row r="185" s="51" customFormat="1" ht="13.5" customHeight="1" x14ac:dyDescent="0.2"/>
    <row r="186" s="51" customFormat="1" ht="13.5" customHeight="1" x14ac:dyDescent="0.2"/>
    <row r="187" s="51" customFormat="1" ht="13.5" customHeight="1" x14ac:dyDescent="0.2"/>
    <row r="188" s="51" customFormat="1" ht="13.5" customHeight="1" x14ac:dyDescent="0.2"/>
    <row r="189" s="51" customFormat="1" ht="13.5" customHeight="1" x14ac:dyDescent="0.2"/>
    <row r="190" s="51" customFormat="1" ht="13.5" customHeight="1" x14ac:dyDescent="0.2"/>
    <row r="191" s="51" customFormat="1" ht="13.5" customHeight="1" x14ac:dyDescent="0.2"/>
    <row r="192" s="51" customFormat="1" ht="13.5" customHeight="1" x14ac:dyDescent="0.2"/>
    <row r="193" s="51" customFormat="1" ht="13.5" customHeight="1" x14ac:dyDescent="0.2"/>
    <row r="194" s="51" customFormat="1" ht="13.5" customHeight="1" x14ac:dyDescent="0.2"/>
    <row r="195" s="51" customFormat="1" ht="13.5" customHeight="1" x14ac:dyDescent="0.2"/>
    <row r="196" s="51" customFormat="1" ht="13.5" customHeight="1" x14ac:dyDescent="0.2"/>
    <row r="197" s="51" customFormat="1" ht="13.5" customHeight="1" x14ac:dyDescent="0.2"/>
    <row r="198" s="51" customFormat="1" ht="13.5" customHeight="1" x14ac:dyDescent="0.2"/>
    <row r="199" s="51" customFormat="1" ht="13.5" customHeight="1" x14ac:dyDescent="0.2"/>
    <row r="200" s="51" customFormat="1" ht="13.5" customHeight="1" x14ac:dyDescent="0.2"/>
    <row r="201" s="51" customFormat="1" ht="13.5" customHeight="1" x14ac:dyDescent="0.2"/>
    <row r="202" s="51" customFormat="1" ht="13.5" customHeight="1" x14ac:dyDescent="0.2"/>
    <row r="203" s="51" customFormat="1" ht="13.5" customHeight="1" x14ac:dyDescent="0.2"/>
    <row r="204" s="51" customFormat="1" ht="13.5" customHeight="1" x14ac:dyDescent="0.2"/>
    <row r="205" s="51" customFormat="1" ht="13.5" customHeight="1" x14ac:dyDescent="0.2"/>
    <row r="206" s="51" customFormat="1" ht="13.5" customHeight="1" x14ac:dyDescent="0.2"/>
    <row r="207" s="51" customFormat="1" ht="13.5" customHeight="1" x14ac:dyDescent="0.2"/>
    <row r="208" s="51" customFormat="1" ht="13.5" customHeight="1" x14ac:dyDescent="0.2"/>
    <row r="209" s="51" customFormat="1" ht="13.5" customHeight="1" x14ac:dyDescent="0.2"/>
    <row r="210" s="51" customFormat="1" ht="13.5" customHeight="1" x14ac:dyDescent="0.2"/>
    <row r="211" s="51" customFormat="1" ht="13.5" customHeight="1" x14ac:dyDescent="0.2"/>
    <row r="212" s="51" customFormat="1" ht="13.5" customHeight="1" x14ac:dyDescent="0.2"/>
    <row r="213" s="51" customFormat="1" ht="13.5" customHeight="1" x14ac:dyDescent="0.2"/>
    <row r="214" s="51" customFormat="1" ht="13.5" customHeight="1" x14ac:dyDescent="0.2"/>
    <row r="215" s="51" customFormat="1" ht="13.5" customHeight="1" x14ac:dyDescent="0.2"/>
    <row r="216" s="51" customFormat="1" ht="13.5" customHeight="1" x14ac:dyDescent="0.2"/>
    <row r="217" s="51" customFormat="1" ht="13.5" customHeight="1" x14ac:dyDescent="0.2"/>
    <row r="218" s="51" customFormat="1" ht="13.5" customHeight="1" x14ac:dyDescent="0.2"/>
    <row r="219" s="51" customFormat="1" ht="13.5" customHeight="1" x14ac:dyDescent="0.2"/>
    <row r="220" s="51" customFormat="1" ht="13.5" customHeight="1" x14ac:dyDescent="0.2"/>
    <row r="221" s="51" customFormat="1" ht="13.5" customHeight="1" x14ac:dyDescent="0.2"/>
    <row r="222" s="51" customFormat="1" ht="13.5" customHeight="1" x14ac:dyDescent="0.2"/>
    <row r="223" s="51" customFormat="1" ht="13.5" customHeight="1" x14ac:dyDescent="0.2"/>
    <row r="224" s="51" customFormat="1" ht="13.5" customHeight="1" x14ac:dyDescent="0.2"/>
    <row r="225" s="51" customFormat="1" ht="13.5" customHeight="1" x14ac:dyDescent="0.2"/>
    <row r="226" s="51" customFormat="1" ht="13.5" customHeight="1" x14ac:dyDescent="0.2"/>
    <row r="227" s="51" customFormat="1" ht="13.5" customHeight="1" x14ac:dyDescent="0.2"/>
    <row r="228" s="51" customFormat="1" ht="13.5" customHeight="1" x14ac:dyDescent="0.2"/>
    <row r="229" s="51" customFormat="1" ht="13.5" customHeight="1" x14ac:dyDescent="0.2"/>
    <row r="230" s="51" customFormat="1" ht="13.5" customHeight="1" x14ac:dyDescent="0.2"/>
    <row r="231" s="51" customFormat="1" ht="13.5" customHeight="1" x14ac:dyDescent="0.2"/>
    <row r="232" s="51" customFormat="1" ht="13.5" customHeight="1" x14ac:dyDescent="0.2"/>
    <row r="233" s="51" customFormat="1" ht="13.5" customHeight="1" x14ac:dyDescent="0.2"/>
    <row r="234" s="51" customFormat="1" ht="13.5" customHeight="1" x14ac:dyDescent="0.2"/>
    <row r="235" s="51" customFormat="1" ht="13.5" customHeight="1" x14ac:dyDescent="0.2"/>
    <row r="236" s="51" customFormat="1" ht="13.5" customHeight="1" x14ac:dyDescent="0.2"/>
    <row r="237" s="51" customFormat="1" ht="13.5" customHeight="1" x14ac:dyDescent="0.2"/>
    <row r="238" s="51" customFormat="1" ht="13.5" customHeight="1" x14ac:dyDescent="0.2"/>
    <row r="239" s="51" customFormat="1" ht="13.5" customHeight="1" x14ac:dyDescent="0.2"/>
    <row r="240" s="51" customFormat="1" ht="13.5" customHeight="1" x14ac:dyDescent="0.2"/>
    <row r="241" s="51" customFormat="1" ht="13.5" customHeight="1" x14ac:dyDescent="0.2"/>
    <row r="242" s="51" customFormat="1" ht="13.5" customHeight="1" x14ac:dyDescent="0.2"/>
    <row r="243" s="51" customFormat="1" ht="13.5" customHeight="1" x14ac:dyDescent="0.2"/>
    <row r="244" s="51" customFormat="1" ht="13.5" customHeight="1" x14ac:dyDescent="0.2"/>
    <row r="245" s="51" customFormat="1" ht="13.5" customHeight="1" x14ac:dyDescent="0.2"/>
    <row r="246" s="51" customFormat="1" ht="13.5" customHeight="1" x14ac:dyDescent="0.2"/>
    <row r="247" s="51" customFormat="1" ht="13.5" customHeight="1" x14ac:dyDescent="0.2"/>
    <row r="248" s="51" customFormat="1" ht="13.5" customHeight="1" x14ac:dyDescent="0.2"/>
    <row r="249" s="51" customFormat="1" ht="13.5" customHeight="1" x14ac:dyDescent="0.2"/>
    <row r="250" s="51" customFormat="1" ht="13.5" customHeight="1" x14ac:dyDescent="0.2"/>
    <row r="251" s="51" customFormat="1" ht="13.5" customHeight="1" x14ac:dyDescent="0.2"/>
    <row r="252" s="51" customFormat="1" ht="13.5" customHeight="1" x14ac:dyDescent="0.2"/>
    <row r="253" s="51" customFormat="1" ht="13.5" customHeight="1" x14ac:dyDescent="0.2"/>
    <row r="254" s="51" customFormat="1" ht="13.5" customHeight="1" x14ac:dyDescent="0.2"/>
    <row r="255" s="51" customFormat="1" ht="13.5" customHeight="1" x14ac:dyDescent="0.2"/>
    <row r="256" s="51" customFormat="1" ht="13.5" customHeight="1" x14ac:dyDescent="0.2"/>
    <row r="257" s="51" customFormat="1" ht="13.5" customHeight="1" x14ac:dyDescent="0.2"/>
    <row r="258" s="51" customFormat="1" ht="13.5" customHeight="1" x14ac:dyDescent="0.2"/>
    <row r="259" s="51" customFormat="1" ht="13.5" customHeight="1" x14ac:dyDescent="0.2"/>
    <row r="260" s="51" customFormat="1" ht="13.5" customHeight="1" x14ac:dyDescent="0.2"/>
    <row r="261" s="51" customFormat="1" ht="13.5" customHeight="1" x14ac:dyDescent="0.2"/>
    <row r="262" s="51" customFormat="1" ht="13.5" customHeight="1" x14ac:dyDescent="0.2"/>
    <row r="263" s="51" customFormat="1" ht="13.5" customHeight="1" x14ac:dyDescent="0.2"/>
    <row r="264" s="51" customFormat="1" ht="13.5" customHeight="1" x14ac:dyDescent="0.2"/>
    <row r="265" s="51" customFormat="1" ht="13.5" customHeight="1" x14ac:dyDescent="0.2"/>
    <row r="266" s="51" customFormat="1" ht="13.5" customHeight="1" x14ac:dyDescent="0.2"/>
    <row r="267" s="51" customFormat="1" ht="13.5" customHeight="1" x14ac:dyDescent="0.2"/>
    <row r="268" s="51" customFormat="1" ht="13.5" customHeight="1" x14ac:dyDescent="0.2"/>
    <row r="269" s="51" customFormat="1" ht="13.5" customHeight="1" x14ac:dyDescent="0.2"/>
    <row r="270" s="51" customFormat="1" ht="13.5" customHeight="1" x14ac:dyDescent="0.2"/>
    <row r="271" s="51" customFormat="1" ht="13.5" customHeight="1" x14ac:dyDescent="0.2"/>
    <row r="272" s="51" customFormat="1" ht="13.5" customHeight="1" x14ac:dyDescent="0.2"/>
    <row r="273" s="51" customFormat="1" ht="13.5" customHeight="1" x14ac:dyDescent="0.2"/>
    <row r="274" s="51" customFormat="1" ht="13.5" customHeight="1" x14ac:dyDescent="0.2"/>
    <row r="275" s="51" customFormat="1" ht="13.5" customHeight="1" x14ac:dyDescent="0.2"/>
    <row r="276" s="51" customFormat="1" ht="13.5" customHeight="1" x14ac:dyDescent="0.2"/>
    <row r="277" s="51" customFormat="1" ht="13.5" customHeight="1" x14ac:dyDescent="0.2"/>
    <row r="278" s="51" customFormat="1" ht="13.5" customHeight="1" x14ac:dyDescent="0.2"/>
    <row r="279" s="51" customFormat="1" ht="13.5" customHeight="1" x14ac:dyDescent="0.2"/>
    <row r="280" s="51" customFormat="1" ht="13.5" customHeight="1" x14ac:dyDescent="0.2"/>
    <row r="281" s="51" customFormat="1" ht="13.5" customHeight="1" x14ac:dyDescent="0.2"/>
    <row r="282" s="51" customFormat="1" ht="13.5" customHeight="1" x14ac:dyDescent="0.2"/>
    <row r="283" s="51" customFormat="1" ht="13.5" customHeight="1" x14ac:dyDescent="0.2"/>
    <row r="284" s="51" customFormat="1" ht="13.5" customHeight="1" x14ac:dyDescent="0.2"/>
    <row r="285" s="51" customFormat="1" ht="13.5" customHeight="1" x14ac:dyDescent="0.2"/>
    <row r="286" s="51" customFormat="1" ht="13.5" customHeight="1" x14ac:dyDescent="0.2"/>
    <row r="287" s="51" customFormat="1" ht="13.5" customHeight="1" x14ac:dyDescent="0.2"/>
    <row r="288" s="51" customFormat="1" ht="13.5" customHeight="1" x14ac:dyDescent="0.2"/>
    <row r="289" s="51" customFormat="1" ht="13.5" customHeight="1" x14ac:dyDescent="0.2"/>
    <row r="290" s="51" customFormat="1" ht="13.5" customHeight="1" x14ac:dyDescent="0.2"/>
    <row r="291" s="51" customFormat="1" ht="13.5" customHeight="1" x14ac:dyDescent="0.2"/>
    <row r="292" s="51" customFormat="1" ht="13.5" customHeight="1" x14ac:dyDescent="0.2"/>
    <row r="293" s="51" customFormat="1" ht="13.5" customHeight="1" x14ac:dyDescent="0.2"/>
    <row r="294" s="51" customFormat="1" ht="13.5" customHeight="1" x14ac:dyDescent="0.2"/>
    <row r="295" s="51" customFormat="1" ht="13.5" customHeight="1" x14ac:dyDescent="0.2"/>
    <row r="296" s="51" customFormat="1" ht="13.5" customHeight="1" x14ac:dyDescent="0.2"/>
    <row r="297" s="51" customFormat="1" ht="13.5" customHeight="1" x14ac:dyDescent="0.2"/>
    <row r="298" s="51" customFormat="1" ht="13.5" customHeight="1" x14ac:dyDescent="0.2"/>
    <row r="299" s="51" customFormat="1" ht="13.5" customHeight="1" x14ac:dyDescent="0.2"/>
    <row r="300" s="51" customFormat="1" ht="13.5" customHeight="1" x14ac:dyDescent="0.2"/>
    <row r="301" s="51" customFormat="1" ht="13.5" customHeight="1" x14ac:dyDescent="0.2"/>
    <row r="302" s="51" customFormat="1" ht="13.5" customHeight="1" x14ac:dyDescent="0.2"/>
    <row r="303" s="51" customFormat="1" ht="13.5" customHeight="1" x14ac:dyDescent="0.2"/>
    <row r="304" s="51" customFormat="1" ht="13.5" customHeight="1" x14ac:dyDescent="0.2"/>
    <row r="305" s="51" customFormat="1" ht="13.5" customHeight="1" x14ac:dyDescent="0.2"/>
    <row r="306" s="51" customFormat="1" ht="13.5" customHeight="1" x14ac:dyDescent="0.2"/>
    <row r="307" s="51" customFormat="1" ht="13.5" customHeight="1" x14ac:dyDescent="0.2"/>
    <row r="308" s="51" customFormat="1" ht="13.5" customHeight="1" x14ac:dyDescent="0.2"/>
    <row r="309" s="51" customFormat="1" ht="13.5" customHeight="1" x14ac:dyDescent="0.2"/>
    <row r="310" s="51" customFormat="1" ht="13.5" customHeight="1" x14ac:dyDescent="0.2"/>
    <row r="311" s="51" customFormat="1" ht="13.5" customHeight="1" x14ac:dyDescent="0.2"/>
    <row r="312" s="51" customFormat="1" ht="13.5" customHeight="1" x14ac:dyDescent="0.2"/>
    <row r="313" s="51" customFormat="1" ht="13.5" customHeight="1" x14ac:dyDescent="0.2"/>
    <row r="314" s="51" customFormat="1" ht="13.5" customHeight="1" x14ac:dyDescent="0.2"/>
    <row r="315" s="51" customFormat="1" ht="13.5" customHeight="1" x14ac:dyDescent="0.2"/>
    <row r="316" s="51" customFormat="1" ht="13.5" customHeight="1" x14ac:dyDescent="0.2"/>
    <row r="317" s="51" customFormat="1" ht="13.5" customHeight="1" x14ac:dyDescent="0.2"/>
    <row r="318" s="51" customFormat="1" ht="13.5" customHeight="1" x14ac:dyDescent="0.2"/>
    <row r="319" s="51" customFormat="1" ht="13.5" customHeight="1" x14ac:dyDescent="0.2"/>
    <row r="320" s="51" customFormat="1" ht="13.5" customHeight="1" x14ac:dyDescent="0.2"/>
    <row r="321" s="51" customFormat="1" ht="13.5" customHeight="1" x14ac:dyDescent="0.2"/>
    <row r="322" s="51" customFormat="1" ht="13.5" customHeight="1" x14ac:dyDescent="0.2"/>
    <row r="323" s="51" customFormat="1" ht="13.5" customHeight="1" x14ac:dyDescent="0.2"/>
    <row r="324" s="51" customFormat="1" ht="13.5" customHeight="1" x14ac:dyDescent="0.2"/>
    <row r="325" s="51" customFormat="1" ht="13.5" customHeight="1" x14ac:dyDescent="0.2"/>
    <row r="326" s="51" customFormat="1" ht="13.5" customHeight="1" x14ac:dyDescent="0.2"/>
    <row r="327" s="51" customFormat="1" ht="13.5" customHeight="1" x14ac:dyDescent="0.2"/>
    <row r="328" s="51" customFormat="1" ht="13.5" customHeight="1" x14ac:dyDescent="0.2"/>
    <row r="329" s="51" customFormat="1" ht="13.5" customHeight="1" x14ac:dyDescent="0.2"/>
    <row r="330" s="51" customFormat="1" ht="13.5" customHeight="1" x14ac:dyDescent="0.2"/>
    <row r="331" s="51" customFormat="1" ht="13.5" customHeight="1" x14ac:dyDescent="0.2"/>
    <row r="332" s="51" customFormat="1" ht="13.5" customHeight="1" x14ac:dyDescent="0.2"/>
    <row r="333" s="51" customFormat="1" ht="13.5" customHeight="1" x14ac:dyDescent="0.2"/>
    <row r="334" s="51" customFormat="1" ht="13.5" customHeight="1" x14ac:dyDescent="0.2"/>
    <row r="335" s="51" customFormat="1" ht="13.5" customHeight="1" x14ac:dyDescent="0.2"/>
    <row r="336" s="51" customFormat="1" ht="13.5" customHeight="1" x14ac:dyDescent="0.2"/>
    <row r="337" s="51" customFormat="1" ht="13.5" customHeight="1" x14ac:dyDescent="0.2"/>
    <row r="338" s="51" customFormat="1" ht="13.5" customHeight="1" x14ac:dyDescent="0.2"/>
    <row r="339" s="51" customFormat="1" ht="13.5" customHeight="1" x14ac:dyDescent="0.2"/>
    <row r="340" s="51" customFormat="1" ht="13.5" customHeight="1" x14ac:dyDescent="0.2"/>
    <row r="341" s="51" customFormat="1" ht="13.5" customHeight="1" x14ac:dyDescent="0.2"/>
    <row r="342" s="51" customFormat="1" ht="13.5" customHeight="1" x14ac:dyDescent="0.2"/>
    <row r="343" s="51" customFormat="1" ht="13.5" customHeight="1" x14ac:dyDescent="0.2"/>
    <row r="344" s="51" customFormat="1" ht="13.5" customHeight="1" x14ac:dyDescent="0.2"/>
    <row r="345" s="51" customFormat="1" ht="13.5" customHeight="1" x14ac:dyDescent="0.2"/>
    <row r="346" s="51" customFormat="1" ht="13.5" customHeight="1" x14ac:dyDescent="0.2"/>
    <row r="347" s="51" customFormat="1" ht="13.5" customHeight="1" x14ac:dyDescent="0.2"/>
    <row r="348" s="51" customFormat="1" ht="13.5" customHeight="1" x14ac:dyDescent="0.2"/>
    <row r="349" s="51" customFormat="1" ht="13.5" customHeight="1" x14ac:dyDescent="0.2"/>
    <row r="350" s="51" customFormat="1" ht="13.5" customHeight="1" x14ac:dyDescent="0.2"/>
    <row r="351" s="51" customFormat="1" ht="13.5" customHeight="1" x14ac:dyDescent="0.2"/>
    <row r="352" s="51" customFormat="1" ht="13.5" customHeight="1" x14ac:dyDescent="0.2"/>
    <row r="353" s="51" customFormat="1" ht="13.5" customHeight="1" x14ac:dyDescent="0.2"/>
    <row r="354" s="51" customFormat="1" ht="13.5" customHeight="1" x14ac:dyDescent="0.2"/>
    <row r="355" s="51" customFormat="1" ht="13.5" customHeight="1" x14ac:dyDescent="0.2"/>
    <row r="356" s="51" customFormat="1" ht="13.5" customHeight="1" x14ac:dyDescent="0.2"/>
    <row r="357" s="51" customFormat="1" ht="13.5" customHeight="1" x14ac:dyDescent="0.2"/>
    <row r="358" s="51" customFormat="1" ht="13.5" customHeight="1" x14ac:dyDescent="0.2"/>
    <row r="359" s="51" customFormat="1" ht="13.5" customHeight="1" x14ac:dyDescent="0.2"/>
    <row r="360" s="51" customFormat="1" ht="13.5" customHeight="1" x14ac:dyDescent="0.2"/>
    <row r="361" s="51" customFormat="1" ht="13.5" customHeight="1" x14ac:dyDescent="0.2"/>
    <row r="362" s="51" customFormat="1" ht="13.5" customHeight="1" x14ac:dyDescent="0.2"/>
    <row r="363" s="51" customFormat="1" ht="13.5" customHeight="1" x14ac:dyDescent="0.2"/>
    <row r="364" s="51" customFormat="1" ht="13.5" customHeight="1" x14ac:dyDescent="0.2"/>
    <row r="365" s="51" customFormat="1" ht="13.5" customHeight="1" x14ac:dyDescent="0.2"/>
    <row r="366" s="51" customFormat="1" ht="13.5" customHeight="1" x14ac:dyDescent="0.2"/>
    <row r="367" s="51" customFormat="1" ht="13.5" customHeight="1" x14ac:dyDescent="0.2"/>
    <row r="368" s="51" customFormat="1" ht="13.5" customHeight="1" x14ac:dyDescent="0.2"/>
    <row r="369" s="51" customFormat="1" ht="13.5" customHeight="1" x14ac:dyDescent="0.2"/>
    <row r="370" s="51" customFormat="1" ht="13.5" customHeight="1" x14ac:dyDescent="0.2"/>
    <row r="371" s="51" customFormat="1" ht="13.5" customHeight="1" x14ac:dyDescent="0.2"/>
    <row r="372" s="51" customFormat="1" ht="13.5" customHeight="1" x14ac:dyDescent="0.2"/>
    <row r="373" s="51" customFormat="1" ht="13.5" customHeight="1" x14ac:dyDescent="0.2"/>
    <row r="374" s="51" customFormat="1" ht="13.5" customHeight="1" x14ac:dyDescent="0.2"/>
    <row r="375" s="51" customFormat="1" ht="13.5" customHeight="1" x14ac:dyDescent="0.2"/>
    <row r="376" s="51" customFormat="1" ht="13.5" customHeight="1" x14ac:dyDescent="0.2"/>
    <row r="377" s="51" customFormat="1" ht="13.5" customHeight="1" x14ac:dyDescent="0.2"/>
    <row r="378" s="51" customFormat="1" ht="13.5" customHeight="1" x14ac:dyDescent="0.2"/>
    <row r="379" s="51" customFormat="1" ht="13.5" customHeight="1" x14ac:dyDescent="0.2"/>
    <row r="380" s="51" customFormat="1" ht="13.5" customHeight="1" x14ac:dyDescent="0.2"/>
    <row r="381" s="51" customFormat="1" ht="13.5" customHeight="1" x14ac:dyDescent="0.2"/>
    <row r="382" s="51" customFormat="1" ht="13.5" customHeight="1" x14ac:dyDescent="0.2"/>
    <row r="383" s="51" customFormat="1" ht="13.5" customHeight="1" x14ac:dyDescent="0.2"/>
    <row r="384" s="51" customFormat="1" ht="13.5" customHeight="1" x14ac:dyDescent="0.2"/>
    <row r="385" s="51" customFormat="1" ht="13.5" customHeight="1" x14ac:dyDescent="0.2"/>
    <row r="386" s="51" customFormat="1" ht="13.5" customHeight="1" x14ac:dyDescent="0.2"/>
    <row r="387" s="51" customFormat="1" ht="13.5" customHeight="1" x14ac:dyDescent="0.2"/>
    <row r="388" s="51" customFormat="1" ht="13.5" customHeight="1" x14ac:dyDescent="0.2"/>
    <row r="389" s="51" customFormat="1" ht="13.5" customHeight="1" x14ac:dyDescent="0.2"/>
    <row r="390" s="51" customFormat="1" ht="13.5" customHeight="1" x14ac:dyDescent="0.2"/>
    <row r="391" s="51" customFormat="1" ht="13.5" customHeight="1" x14ac:dyDescent="0.2"/>
    <row r="392" s="51" customFormat="1" ht="13.5" customHeight="1" x14ac:dyDescent="0.2"/>
    <row r="393" s="51" customFormat="1" ht="13.5" customHeight="1" x14ac:dyDescent="0.2"/>
    <row r="394" s="51" customFormat="1" ht="13.5" customHeight="1" x14ac:dyDescent="0.2"/>
    <row r="395" s="51" customFormat="1" ht="13.5" customHeight="1" x14ac:dyDescent="0.2"/>
    <row r="396" s="51" customFormat="1" ht="13.5" customHeight="1" x14ac:dyDescent="0.2"/>
    <row r="397" s="51" customFormat="1" ht="13.5" customHeight="1" x14ac:dyDescent="0.2"/>
    <row r="398" s="51" customFormat="1" ht="13.5" customHeight="1" x14ac:dyDescent="0.2"/>
    <row r="399" s="51" customFormat="1" ht="13.5" customHeight="1" x14ac:dyDescent="0.2"/>
    <row r="400" s="51" customFormat="1" ht="13.5" customHeight="1" x14ac:dyDescent="0.2"/>
    <row r="401" s="51" customFormat="1" ht="13.5" customHeight="1" x14ac:dyDescent="0.2"/>
    <row r="402" s="51" customFormat="1" ht="13.5" customHeight="1" x14ac:dyDescent="0.2"/>
    <row r="403" s="51" customFormat="1" ht="13.5" customHeight="1" x14ac:dyDescent="0.2"/>
    <row r="404" s="51" customFormat="1" ht="13.5" customHeight="1" x14ac:dyDescent="0.2"/>
    <row r="405" s="51" customFormat="1" ht="13.5" customHeight="1" x14ac:dyDescent="0.2"/>
    <row r="406" s="51" customFormat="1" ht="13.5" customHeight="1" x14ac:dyDescent="0.2"/>
    <row r="407" s="51" customFormat="1" ht="13.5" customHeight="1" x14ac:dyDescent="0.2"/>
    <row r="408" s="51" customFormat="1" ht="13.5" customHeight="1" x14ac:dyDescent="0.2"/>
    <row r="409" s="51" customFormat="1" ht="13.5" customHeight="1" x14ac:dyDescent="0.2"/>
    <row r="410" s="51" customFormat="1" ht="13.5" customHeight="1" x14ac:dyDescent="0.2"/>
    <row r="411" s="51" customFormat="1" ht="13.5" customHeight="1" x14ac:dyDescent="0.2"/>
    <row r="412" s="51" customFormat="1" ht="13.5" customHeight="1" x14ac:dyDescent="0.2"/>
    <row r="413" s="51" customFormat="1" ht="13.5" customHeight="1" x14ac:dyDescent="0.2"/>
    <row r="414" s="51" customFormat="1" ht="13.5" customHeight="1" x14ac:dyDescent="0.2"/>
    <row r="415" s="51" customFormat="1" ht="13.5" customHeight="1" x14ac:dyDescent="0.2"/>
    <row r="416" s="51" customFormat="1" ht="13.5" customHeight="1" x14ac:dyDescent="0.2"/>
    <row r="417" s="51" customFormat="1" ht="13.5" customHeight="1" x14ac:dyDescent="0.2"/>
    <row r="418" s="51" customFormat="1" ht="13.5" customHeight="1" x14ac:dyDescent="0.2"/>
    <row r="419" s="51" customFormat="1" ht="13.5" customHeight="1" x14ac:dyDescent="0.2"/>
    <row r="420" s="51" customFormat="1" ht="13.5" customHeight="1" x14ac:dyDescent="0.2"/>
    <row r="421" s="51" customFormat="1" ht="13.5" customHeight="1" x14ac:dyDescent="0.2"/>
    <row r="422" s="51" customFormat="1" ht="13.5" customHeight="1" x14ac:dyDescent="0.2"/>
    <row r="423" s="51" customFormat="1" ht="13.5" customHeight="1" x14ac:dyDescent="0.2"/>
    <row r="424" s="51" customFormat="1" ht="13.5" customHeight="1" x14ac:dyDescent="0.2"/>
    <row r="425" s="51" customFormat="1" ht="13.5" customHeight="1" x14ac:dyDescent="0.2"/>
    <row r="426" s="51" customFormat="1" ht="13.5" customHeight="1" x14ac:dyDescent="0.2"/>
    <row r="427" s="51" customFormat="1" ht="13.5" customHeight="1" x14ac:dyDescent="0.2"/>
    <row r="428" s="51" customFormat="1" ht="13.5" customHeight="1" x14ac:dyDescent="0.2"/>
    <row r="429" s="51" customFormat="1" ht="13.5" customHeight="1" x14ac:dyDescent="0.2"/>
    <row r="430" s="51" customFormat="1" ht="13.5" customHeight="1" x14ac:dyDescent="0.2"/>
    <row r="431" s="51" customFormat="1" ht="13.5" customHeight="1" x14ac:dyDescent="0.2"/>
    <row r="432" s="51" customFormat="1" ht="13.5" customHeight="1" x14ac:dyDescent="0.2"/>
    <row r="433" s="51" customFormat="1" ht="13.5" customHeight="1" x14ac:dyDescent="0.2"/>
    <row r="434" s="51" customFormat="1" ht="13.5" customHeight="1" x14ac:dyDescent="0.2"/>
    <row r="435" s="51" customFormat="1" ht="13.5" customHeight="1" x14ac:dyDescent="0.2"/>
    <row r="436" s="51" customFormat="1" ht="13.5" customHeight="1" x14ac:dyDescent="0.2"/>
    <row r="437" s="51" customFormat="1" ht="13.5" customHeight="1" x14ac:dyDescent="0.2"/>
    <row r="438" s="51" customFormat="1" ht="13.5" customHeight="1" x14ac:dyDescent="0.2"/>
    <row r="439" s="51" customFormat="1" ht="13.5" customHeight="1" x14ac:dyDescent="0.2"/>
    <row r="440" s="51" customFormat="1" ht="13.5" customHeight="1" x14ac:dyDescent="0.2"/>
    <row r="441" s="51" customFormat="1" ht="13.5" customHeight="1" x14ac:dyDescent="0.2"/>
    <row r="442" s="51" customFormat="1" ht="13.5" customHeight="1" x14ac:dyDescent="0.2"/>
    <row r="443" s="51" customFormat="1" ht="13.5" customHeight="1" x14ac:dyDescent="0.2"/>
    <row r="444" s="51" customFormat="1" ht="13.5" customHeight="1" x14ac:dyDescent="0.2"/>
    <row r="445" s="51" customFormat="1" ht="13.5" customHeight="1" x14ac:dyDescent="0.2"/>
    <row r="446" s="51" customFormat="1" ht="13.5" customHeight="1" x14ac:dyDescent="0.2"/>
    <row r="447" s="51" customFormat="1" ht="13.5" customHeight="1" x14ac:dyDescent="0.2"/>
    <row r="448" s="51" customFormat="1" ht="13.5" customHeight="1" x14ac:dyDescent="0.2"/>
    <row r="449" s="51" customFormat="1" ht="13.5" customHeight="1" x14ac:dyDescent="0.2"/>
    <row r="450" s="51" customFormat="1" ht="13.5" customHeight="1" x14ac:dyDescent="0.2"/>
    <row r="451" s="51" customFormat="1" ht="13.5" customHeight="1" x14ac:dyDescent="0.2"/>
    <row r="452" s="51" customFormat="1" ht="13.5" customHeight="1" x14ac:dyDescent="0.2"/>
    <row r="453" s="51" customFormat="1" ht="13.5" customHeight="1" x14ac:dyDescent="0.2"/>
    <row r="454" s="51" customFormat="1" ht="13.5" customHeight="1" x14ac:dyDescent="0.2"/>
    <row r="455" s="51" customFormat="1" ht="13.5" customHeight="1" x14ac:dyDescent="0.2"/>
    <row r="456" s="51" customFormat="1" ht="13.5" customHeight="1" x14ac:dyDescent="0.2"/>
    <row r="457" s="51" customFormat="1" ht="13.5" customHeight="1" x14ac:dyDescent="0.2"/>
    <row r="458" s="51" customFormat="1" ht="13.5" customHeight="1" x14ac:dyDescent="0.2"/>
    <row r="459" s="51" customFormat="1" ht="13.5" customHeight="1" x14ac:dyDescent="0.2"/>
    <row r="460" s="51" customFormat="1" ht="13.5" customHeight="1" x14ac:dyDescent="0.2"/>
    <row r="461" s="51" customFormat="1" ht="13.5" customHeight="1" x14ac:dyDescent="0.2"/>
    <row r="462" s="51" customFormat="1" ht="13.5" customHeight="1" x14ac:dyDescent="0.2"/>
    <row r="463" s="51" customFormat="1" ht="13.5" customHeight="1" x14ac:dyDescent="0.2"/>
    <row r="464" s="51" customFormat="1" ht="13.5" customHeight="1" x14ac:dyDescent="0.2"/>
    <row r="465" s="51" customFormat="1" ht="13.5" customHeight="1" x14ac:dyDescent="0.2"/>
    <row r="466" s="51" customFormat="1" ht="13.5" customHeight="1" x14ac:dyDescent="0.2"/>
    <row r="467" s="51" customFormat="1" ht="13.5" customHeight="1" x14ac:dyDescent="0.2"/>
    <row r="468" s="51" customFormat="1" ht="13.5" customHeight="1" x14ac:dyDescent="0.2"/>
    <row r="469" s="51" customFormat="1" ht="13.5" customHeight="1" x14ac:dyDescent="0.2"/>
    <row r="470" s="51" customFormat="1" ht="13.5" customHeight="1" x14ac:dyDescent="0.2"/>
    <row r="471" s="51" customFormat="1" ht="13.5" customHeight="1" x14ac:dyDescent="0.2"/>
    <row r="472" s="51" customFormat="1" ht="13.5" customHeight="1" x14ac:dyDescent="0.2"/>
    <row r="473" s="51" customFormat="1" ht="13.5" customHeight="1" x14ac:dyDescent="0.2"/>
    <row r="474" s="51" customFormat="1" ht="13.5" customHeight="1" x14ac:dyDescent="0.2"/>
    <row r="475" s="51" customFormat="1" ht="13.5" customHeight="1" x14ac:dyDescent="0.2"/>
    <row r="476" s="51" customFormat="1" ht="13.5" customHeight="1" x14ac:dyDescent="0.2"/>
    <row r="477" s="51" customFormat="1" ht="13.5" customHeight="1" x14ac:dyDescent="0.2"/>
    <row r="478" s="51" customFormat="1" ht="13.5" customHeight="1" x14ac:dyDescent="0.2"/>
    <row r="479" s="51" customFormat="1" ht="13.5" customHeight="1" x14ac:dyDescent="0.2"/>
    <row r="480" s="51" customFormat="1" ht="13.5" customHeight="1" x14ac:dyDescent="0.2"/>
    <row r="481" s="51" customFormat="1" ht="13.5" customHeight="1" x14ac:dyDescent="0.2"/>
    <row r="482" s="51" customFormat="1" ht="13.5" customHeight="1" x14ac:dyDescent="0.2"/>
    <row r="483" s="51" customFormat="1" ht="13.5" customHeight="1" x14ac:dyDescent="0.2"/>
    <row r="484" s="51" customFormat="1" ht="13.5" customHeight="1" x14ac:dyDescent="0.2"/>
    <row r="485" s="51" customFormat="1" ht="13.5" customHeight="1" x14ac:dyDescent="0.2"/>
    <row r="486" s="51" customFormat="1" ht="13.5" customHeight="1" x14ac:dyDescent="0.2"/>
    <row r="487" s="51" customFormat="1" ht="13.5" customHeight="1" x14ac:dyDescent="0.2"/>
    <row r="488" s="51" customFormat="1" ht="13.5" customHeight="1" x14ac:dyDescent="0.2"/>
    <row r="489" s="51" customFormat="1" ht="13.5" customHeight="1" x14ac:dyDescent="0.2"/>
    <row r="490" s="51" customFormat="1" ht="13.5" customHeight="1" x14ac:dyDescent="0.2"/>
    <row r="491" s="51" customFormat="1" ht="13.5" customHeight="1" x14ac:dyDescent="0.2"/>
    <row r="492" s="51" customFormat="1" ht="13.5" customHeight="1" x14ac:dyDescent="0.2"/>
    <row r="493" s="51" customFormat="1" ht="13.5" customHeight="1" x14ac:dyDescent="0.2"/>
    <row r="494" s="51" customFormat="1" ht="13.5" customHeight="1" x14ac:dyDescent="0.2"/>
    <row r="495" s="51" customFormat="1" ht="13.5" customHeight="1" x14ac:dyDescent="0.2"/>
    <row r="496" s="51" customFormat="1" ht="13.5" customHeight="1" x14ac:dyDescent="0.2"/>
    <row r="497" s="51" customFormat="1" ht="13.5" customHeight="1" x14ac:dyDescent="0.2"/>
    <row r="498" s="51" customFormat="1" ht="13.5" customHeight="1" x14ac:dyDescent="0.2"/>
    <row r="499" s="51" customFormat="1" ht="13.5" customHeight="1" x14ac:dyDescent="0.2"/>
    <row r="500" s="51" customFormat="1" ht="13.5" customHeight="1" x14ac:dyDescent="0.2"/>
    <row r="501" s="51" customFormat="1" ht="13.5" customHeight="1" x14ac:dyDescent="0.2"/>
    <row r="502" s="51" customFormat="1" ht="13.5" customHeight="1" x14ac:dyDescent="0.2"/>
    <row r="503" s="51" customFormat="1" ht="13.5" customHeight="1" x14ac:dyDescent="0.2"/>
    <row r="504" s="51" customFormat="1" ht="13.5" customHeight="1" x14ac:dyDescent="0.2"/>
    <row r="505" s="51" customFormat="1" ht="13.5" customHeight="1" x14ac:dyDescent="0.2"/>
    <row r="506" s="51" customFormat="1" ht="13.5" customHeight="1" x14ac:dyDescent="0.2"/>
    <row r="507" s="51" customFormat="1" ht="13.5" customHeight="1" x14ac:dyDescent="0.2"/>
    <row r="508" s="51" customFormat="1" ht="13.5" customHeight="1" x14ac:dyDescent="0.2"/>
    <row r="509" s="51" customFormat="1" ht="13.5" customHeight="1" x14ac:dyDescent="0.2"/>
    <row r="510" s="51" customFormat="1" ht="13.5" customHeight="1" x14ac:dyDescent="0.2"/>
    <row r="511" s="51" customFormat="1" ht="13.5" customHeight="1" x14ac:dyDescent="0.2"/>
    <row r="512" s="51" customFormat="1" ht="13.5" customHeight="1" x14ac:dyDescent="0.2"/>
    <row r="513" s="51" customFormat="1" ht="13.5" customHeight="1" x14ac:dyDescent="0.2"/>
    <row r="514" s="51" customFormat="1" ht="13.5" customHeight="1" x14ac:dyDescent="0.2"/>
    <row r="515" s="51" customFormat="1" ht="13.5" customHeight="1" x14ac:dyDescent="0.2"/>
    <row r="516" s="51" customFormat="1" ht="13.5" customHeight="1" x14ac:dyDescent="0.2"/>
    <row r="517" s="51" customFormat="1" ht="13.5" customHeight="1" x14ac:dyDescent="0.2"/>
    <row r="518" s="51" customFormat="1" ht="13.5" customHeight="1" x14ac:dyDescent="0.2"/>
    <row r="519" s="51" customFormat="1" ht="13.5" customHeight="1" x14ac:dyDescent="0.2"/>
    <row r="520" s="51" customFormat="1" ht="13.5" customHeight="1" x14ac:dyDescent="0.2"/>
    <row r="521" s="51" customFormat="1" ht="13.5" customHeight="1" x14ac:dyDescent="0.2"/>
    <row r="522" s="51" customFormat="1" ht="13.5" customHeight="1" x14ac:dyDescent="0.2"/>
    <row r="523" s="51" customFormat="1" ht="13.5" customHeight="1" x14ac:dyDescent="0.2"/>
    <row r="524" s="51" customFormat="1" ht="13.5" customHeight="1" x14ac:dyDescent="0.2"/>
    <row r="525" s="51" customFormat="1" ht="13.5" customHeight="1" x14ac:dyDescent="0.2"/>
    <row r="526" s="51" customFormat="1" ht="13.5" customHeight="1" x14ac:dyDescent="0.2"/>
    <row r="527" s="51" customFormat="1" ht="13.5" customHeight="1" x14ac:dyDescent="0.2"/>
    <row r="528" s="51" customFormat="1" ht="13.5" customHeight="1" x14ac:dyDescent="0.2"/>
    <row r="529" s="51" customFormat="1" ht="13.5" customHeight="1" x14ac:dyDescent="0.2"/>
    <row r="530" s="51" customFormat="1" ht="13.5" customHeight="1" x14ac:dyDescent="0.2"/>
    <row r="531" s="51" customFormat="1" ht="13.5" customHeight="1" x14ac:dyDescent="0.2"/>
    <row r="532" s="51" customFormat="1" ht="13.5" customHeight="1" x14ac:dyDescent="0.2"/>
    <row r="533" s="51" customFormat="1" ht="13.5" customHeight="1" x14ac:dyDescent="0.2"/>
    <row r="534" s="51" customFormat="1" ht="13.5" customHeight="1" x14ac:dyDescent="0.2"/>
    <row r="535" s="51" customFormat="1" ht="13.5" customHeight="1" x14ac:dyDescent="0.2"/>
    <row r="536" s="51" customFormat="1" ht="13.5" customHeight="1" x14ac:dyDescent="0.2"/>
    <row r="537" s="51" customFormat="1" ht="13.5" customHeight="1" x14ac:dyDescent="0.2"/>
    <row r="538" s="51" customFormat="1" ht="13.5" customHeight="1" x14ac:dyDescent="0.2"/>
    <row r="539" s="51" customFormat="1" ht="13.5" customHeight="1" x14ac:dyDescent="0.2"/>
    <row r="540" s="51" customFormat="1" ht="13.5" customHeight="1" x14ac:dyDescent="0.2"/>
    <row r="541" s="51" customFormat="1" ht="13.5" customHeight="1" x14ac:dyDescent="0.2"/>
    <row r="542" s="51" customFormat="1" ht="13.5" customHeight="1" x14ac:dyDescent="0.2"/>
    <row r="543" s="51" customFormat="1" ht="13.5" customHeight="1" x14ac:dyDescent="0.2"/>
    <row r="544" s="51" customFormat="1" ht="13.5" customHeight="1" x14ac:dyDescent="0.2"/>
    <row r="545" s="51" customFormat="1" ht="13.5" customHeight="1" x14ac:dyDescent="0.2"/>
    <row r="546" s="51" customFormat="1" ht="13.5" customHeight="1" x14ac:dyDescent="0.2"/>
    <row r="547" s="51" customFormat="1" ht="13.5" customHeight="1" x14ac:dyDescent="0.2"/>
    <row r="548" s="51" customFormat="1" ht="13.5" customHeight="1" x14ac:dyDescent="0.2"/>
    <row r="549" s="51" customFormat="1" ht="13.5" customHeight="1" x14ac:dyDescent="0.2"/>
    <row r="550" s="51" customFormat="1" ht="13.5" customHeight="1" x14ac:dyDescent="0.2"/>
    <row r="551" s="51" customFormat="1" ht="13.5" customHeight="1" x14ac:dyDescent="0.2"/>
    <row r="552" s="51" customFormat="1" ht="13.5" customHeight="1" x14ac:dyDescent="0.2"/>
    <row r="553" s="51" customFormat="1" ht="13.5" customHeight="1" x14ac:dyDescent="0.2"/>
    <row r="554" s="51" customFormat="1" ht="13.5" customHeight="1" x14ac:dyDescent="0.2"/>
    <row r="555" s="51" customFormat="1" ht="13.5" customHeight="1" x14ac:dyDescent="0.2"/>
    <row r="556" s="51" customFormat="1" ht="13.5" customHeight="1" x14ac:dyDescent="0.2"/>
    <row r="557" s="51" customFormat="1" ht="13.5" customHeight="1" x14ac:dyDescent="0.2"/>
    <row r="558" s="51" customFormat="1" ht="13.5" customHeight="1" x14ac:dyDescent="0.2"/>
    <row r="559" s="51" customFormat="1" ht="13.5" customHeight="1" x14ac:dyDescent="0.2"/>
    <row r="560" s="51" customFormat="1" ht="13.5" customHeight="1" x14ac:dyDescent="0.2"/>
    <row r="561" s="51" customFormat="1" ht="13.5" customHeight="1" x14ac:dyDescent="0.2"/>
    <row r="562" s="51" customFormat="1" ht="13.5" customHeight="1" x14ac:dyDescent="0.2"/>
    <row r="563" s="51" customFormat="1" ht="13.5" customHeight="1" x14ac:dyDescent="0.2"/>
    <row r="564" s="51" customFormat="1" ht="13.5" customHeight="1" x14ac:dyDescent="0.2"/>
    <row r="565" s="51" customFormat="1" ht="13.5" customHeight="1" x14ac:dyDescent="0.2"/>
    <row r="566" s="51" customFormat="1" ht="13.5" customHeight="1" x14ac:dyDescent="0.2"/>
    <row r="567" s="51" customFormat="1" ht="13.5" customHeight="1" x14ac:dyDescent="0.2"/>
    <row r="568" s="51" customFormat="1" ht="13.5" customHeight="1" x14ac:dyDescent="0.2"/>
    <row r="569" s="51" customFormat="1" ht="13.5" customHeight="1" x14ac:dyDescent="0.2"/>
    <row r="570" s="51" customFormat="1" ht="13.5" customHeight="1" x14ac:dyDescent="0.2"/>
    <row r="571" s="51" customFormat="1" ht="13.5" customHeight="1" x14ac:dyDescent="0.2"/>
    <row r="572" s="51" customFormat="1" ht="13.5" customHeight="1" x14ac:dyDescent="0.2"/>
    <row r="573" s="51" customFormat="1" ht="13.5" customHeight="1" x14ac:dyDescent="0.2"/>
    <row r="574" s="51" customFormat="1" ht="13.5" customHeight="1" x14ac:dyDescent="0.2"/>
    <row r="575" s="51" customFormat="1" ht="13.5" customHeight="1" x14ac:dyDescent="0.2"/>
    <row r="576" s="51" customFormat="1" ht="13.5" customHeight="1" x14ac:dyDescent="0.2"/>
    <row r="577" s="51" customFormat="1" ht="13.5" customHeight="1" x14ac:dyDescent="0.2"/>
    <row r="578" s="51" customFormat="1" ht="13.5" customHeight="1" x14ac:dyDescent="0.2"/>
    <row r="579" s="51" customFormat="1" ht="13.5" customHeight="1" x14ac:dyDescent="0.2"/>
    <row r="580" s="51" customFormat="1" ht="13.5" customHeight="1" x14ac:dyDescent="0.2"/>
    <row r="581" s="51" customFormat="1" ht="13.5" customHeight="1" x14ac:dyDescent="0.2"/>
    <row r="582" s="51" customFormat="1" ht="13.5" customHeight="1" x14ac:dyDescent="0.2"/>
    <row r="583" s="51" customFormat="1" ht="13.5" customHeight="1" x14ac:dyDescent="0.2"/>
    <row r="584" s="51" customFormat="1" ht="13.5" customHeight="1" x14ac:dyDescent="0.2"/>
    <row r="585" s="51" customFormat="1" ht="13.5" customHeight="1" x14ac:dyDescent="0.2"/>
    <row r="586" s="51" customFormat="1" ht="13.5" customHeight="1" x14ac:dyDescent="0.2"/>
    <row r="587" s="51" customFormat="1" ht="13.5" customHeight="1" x14ac:dyDescent="0.2"/>
    <row r="588" s="51" customFormat="1" ht="13.5" customHeight="1" x14ac:dyDescent="0.2"/>
    <row r="589" s="51" customFormat="1" ht="13.5" customHeight="1" x14ac:dyDescent="0.2"/>
    <row r="590" s="51" customFormat="1" ht="13.5" customHeight="1" x14ac:dyDescent="0.2"/>
    <row r="591" s="51" customFormat="1" ht="13.5" customHeight="1" x14ac:dyDescent="0.2"/>
    <row r="592" s="51" customFormat="1" ht="13.5" customHeight="1" x14ac:dyDescent="0.2"/>
    <row r="593" s="51" customFormat="1" ht="13.5" customHeight="1" x14ac:dyDescent="0.2"/>
    <row r="594" s="51" customFormat="1" ht="13.5" customHeight="1" x14ac:dyDescent="0.2"/>
    <row r="595" s="51" customFormat="1" ht="13.5" customHeight="1" x14ac:dyDescent="0.2"/>
    <row r="596" s="51" customFormat="1" ht="13.5" customHeight="1" x14ac:dyDescent="0.2"/>
    <row r="597" s="51" customFormat="1" ht="13.5" customHeight="1" x14ac:dyDescent="0.2"/>
    <row r="598" s="51" customFormat="1" ht="13.5" customHeight="1" x14ac:dyDescent="0.2"/>
    <row r="599" s="51" customFormat="1" ht="13.5" customHeight="1" x14ac:dyDescent="0.2"/>
    <row r="600" s="51" customFormat="1" ht="13.5" customHeight="1" x14ac:dyDescent="0.2"/>
    <row r="601" s="51" customFormat="1" ht="13.5" customHeight="1" x14ac:dyDescent="0.2"/>
    <row r="602" s="51" customFormat="1" ht="13.5" customHeight="1" x14ac:dyDescent="0.2"/>
    <row r="603" s="51" customFormat="1" ht="13.5" customHeight="1" x14ac:dyDescent="0.2"/>
    <row r="604" s="51" customFormat="1" ht="13.5" customHeight="1" x14ac:dyDescent="0.2"/>
    <row r="605" s="51" customFormat="1" ht="13.5" customHeight="1" x14ac:dyDescent="0.2"/>
    <row r="606" s="51" customFormat="1" ht="13.5" customHeight="1" x14ac:dyDescent="0.2"/>
    <row r="607" s="51" customFormat="1" ht="13.5" customHeight="1" x14ac:dyDescent="0.2"/>
    <row r="608" s="51" customFormat="1" ht="13.5" customHeight="1" x14ac:dyDescent="0.2"/>
    <row r="609" s="51" customFormat="1" ht="13.5" customHeight="1" x14ac:dyDescent="0.2"/>
    <row r="610" s="51" customFormat="1" ht="13.5" customHeight="1" x14ac:dyDescent="0.2"/>
    <row r="611" s="51" customFormat="1" ht="13.5" customHeight="1" x14ac:dyDescent="0.2"/>
    <row r="612" s="51" customFormat="1" ht="13.5" customHeight="1" x14ac:dyDescent="0.2"/>
    <row r="613" s="51" customFormat="1" ht="13.5" customHeight="1" x14ac:dyDescent="0.2"/>
    <row r="614" s="51" customFormat="1" ht="13.5" customHeight="1" x14ac:dyDescent="0.2"/>
    <row r="615" s="51" customFormat="1" ht="13.5" customHeight="1" x14ac:dyDescent="0.2"/>
    <row r="616" s="51" customFormat="1" ht="13.5" customHeight="1" x14ac:dyDescent="0.2"/>
    <row r="617" s="51" customFormat="1" ht="13.5" customHeight="1" x14ac:dyDescent="0.2"/>
    <row r="618" s="51" customFormat="1" ht="13.5" customHeight="1" x14ac:dyDescent="0.2"/>
    <row r="619" s="51" customFormat="1" ht="13.5" customHeight="1" x14ac:dyDescent="0.2"/>
    <row r="620" s="51" customFormat="1" ht="13.5" customHeight="1" x14ac:dyDescent="0.2"/>
    <row r="621" s="51" customFormat="1" ht="13.5" customHeight="1" x14ac:dyDescent="0.2"/>
    <row r="622" s="51" customFormat="1" ht="13.5" customHeight="1" x14ac:dyDescent="0.2"/>
    <row r="623" s="51" customFormat="1" ht="13.5" customHeight="1" x14ac:dyDescent="0.2"/>
    <row r="624" s="51" customFormat="1" ht="13.5" customHeight="1" x14ac:dyDescent="0.2"/>
    <row r="625" s="51" customFormat="1" ht="13.5" customHeight="1" x14ac:dyDescent="0.2"/>
    <row r="626" s="51" customFormat="1" ht="13.5" customHeight="1" x14ac:dyDescent="0.2"/>
    <row r="627" s="51" customFormat="1" ht="13.5" customHeight="1" x14ac:dyDescent="0.2"/>
    <row r="628" s="51" customFormat="1" ht="13.5" customHeight="1" x14ac:dyDescent="0.2"/>
    <row r="629" s="51" customFormat="1" ht="13.5" customHeight="1" x14ac:dyDescent="0.2"/>
    <row r="630" s="51" customFormat="1" ht="13.5" customHeight="1" x14ac:dyDescent="0.2"/>
    <row r="631" s="51" customFormat="1" ht="13.5" customHeight="1" x14ac:dyDescent="0.2"/>
    <row r="632" s="51" customFormat="1" ht="13.5" customHeight="1" x14ac:dyDescent="0.2"/>
    <row r="633" s="51" customFormat="1" ht="13.5" customHeight="1" x14ac:dyDescent="0.2"/>
    <row r="634" s="51" customFormat="1" ht="13.5" customHeight="1" x14ac:dyDescent="0.2"/>
    <row r="635" s="51" customFormat="1" ht="13.5" customHeight="1" x14ac:dyDescent="0.2"/>
    <row r="636" s="51" customFormat="1" ht="13.5" customHeight="1" x14ac:dyDescent="0.2"/>
    <row r="637" s="51" customFormat="1" ht="13.5" customHeight="1" x14ac:dyDescent="0.2"/>
    <row r="638" s="51" customFormat="1" ht="13.5" customHeight="1" x14ac:dyDescent="0.2"/>
    <row r="639" s="51" customFormat="1" ht="13.5" customHeight="1" x14ac:dyDescent="0.2"/>
    <row r="640" s="51" customFormat="1" ht="13.5" customHeight="1" x14ac:dyDescent="0.2"/>
    <row r="641" s="51" customFormat="1" ht="13.5" customHeight="1" x14ac:dyDescent="0.2"/>
    <row r="642" s="51" customFormat="1" ht="13.5" customHeight="1" x14ac:dyDescent="0.2"/>
    <row r="643" s="51" customFormat="1" ht="13.5" customHeight="1" x14ac:dyDescent="0.2"/>
    <row r="644" s="51" customFormat="1" ht="13.5" customHeight="1" x14ac:dyDescent="0.2"/>
    <row r="645" s="51" customFormat="1" ht="13.5" customHeight="1" x14ac:dyDescent="0.2"/>
    <row r="646" s="51" customFormat="1" ht="13.5" customHeight="1" x14ac:dyDescent="0.2"/>
    <row r="647" s="51" customFormat="1" ht="13.5" customHeight="1" x14ac:dyDescent="0.2"/>
    <row r="648" s="51" customFormat="1" ht="13.5" customHeight="1" x14ac:dyDescent="0.2"/>
    <row r="649" s="51" customFormat="1" ht="13.5" customHeight="1" x14ac:dyDescent="0.2"/>
    <row r="650" s="51" customFormat="1" ht="13.5" customHeight="1" x14ac:dyDescent="0.2"/>
    <row r="651" s="51" customFormat="1" ht="13.5" customHeight="1" x14ac:dyDescent="0.2"/>
    <row r="652" s="51" customFormat="1" ht="13.5" customHeight="1" x14ac:dyDescent="0.2"/>
    <row r="653" s="51" customFormat="1" ht="13.5" customHeight="1" x14ac:dyDescent="0.2"/>
    <row r="654" s="51" customFormat="1" ht="13.5" customHeight="1" x14ac:dyDescent="0.2"/>
    <row r="655" s="51" customFormat="1" ht="13.5" customHeight="1" x14ac:dyDescent="0.2"/>
    <row r="656" s="51" customFormat="1" ht="13.5" customHeight="1" x14ac:dyDescent="0.2"/>
    <row r="657" s="51" customFormat="1" ht="13.5" customHeight="1" x14ac:dyDescent="0.2"/>
    <row r="658" s="51" customFormat="1" ht="13.5" customHeight="1" x14ac:dyDescent="0.2"/>
    <row r="659" s="51" customFormat="1" ht="13.5" customHeight="1" x14ac:dyDescent="0.2"/>
    <row r="660" s="51" customFormat="1" ht="13.5" customHeight="1" x14ac:dyDescent="0.2"/>
    <row r="661" s="51" customFormat="1" ht="13.5" customHeight="1" x14ac:dyDescent="0.2"/>
    <row r="662" s="51" customFormat="1" ht="13.5" customHeight="1" x14ac:dyDescent="0.2"/>
    <row r="663" s="51" customFormat="1" ht="13.5" customHeight="1" x14ac:dyDescent="0.2"/>
    <row r="664" s="51" customFormat="1" ht="13.5" customHeight="1" x14ac:dyDescent="0.2"/>
    <row r="665" s="51" customFormat="1" ht="13.5" customHeight="1" x14ac:dyDescent="0.2"/>
    <row r="666" s="51" customFormat="1" ht="13.5" customHeight="1" x14ac:dyDescent="0.2"/>
    <row r="667" s="51" customFormat="1" ht="13.5" customHeight="1" x14ac:dyDescent="0.2"/>
    <row r="668" s="51" customFormat="1" ht="13.5" customHeight="1" x14ac:dyDescent="0.2"/>
    <row r="669" s="51" customFormat="1" ht="13.5" customHeight="1" x14ac:dyDescent="0.2"/>
    <row r="670" s="51" customFormat="1" ht="13.5" customHeight="1" x14ac:dyDescent="0.2"/>
    <row r="671" s="51" customFormat="1" ht="13.5" customHeight="1" x14ac:dyDescent="0.2"/>
    <row r="672" s="51" customFormat="1" ht="13.5" customHeight="1" x14ac:dyDescent="0.2"/>
    <row r="673" s="51" customFormat="1" ht="13.5" customHeight="1" x14ac:dyDescent="0.2"/>
    <row r="674" s="51" customFormat="1" ht="13.5" customHeight="1" x14ac:dyDescent="0.2"/>
    <row r="675" s="51" customFormat="1" ht="13.5" customHeight="1" x14ac:dyDescent="0.2"/>
    <row r="676" s="51" customFormat="1" ht="13.5" customHeight="1" x14ac:dyDescent="0.2"/>
    <row r="677" s="51" customFormat="1" ht="13.5" customHeight="1" x14ac:dyDescent="0.2"/>
    <row r="678" s="51" customFormat="1" ht="13.5" customHeight="1" x14ac:dyDescent="0.2"/>
    <row r="679" s="51" customFormat="1" ht="13.5" customHeight="1" x14ac:dyDescent="0.2"/>
    <row r="680" s="51" customFormat="1" ht="13.5" customHeight="1" x14ac:dyDescent="0.2"/>
    <row r="681" s="51" customFormat="1" ht="13.5" customHeight="1" x14ac:dyDescent="0.2"/>
    <row r="682" s="51" customFormat="1" ht="13.5" customHeight="1" x14ac:dyDescent="0.2"/>
    <row r="683" s="51" customFormat="1" ht="13.5" customHeight="1" x14ac:dyDescent="0.2"/>
    <row r="684" s="51" customFormat="1" ht="13.5" customHeight="1" x14ac:dyDescent="0.2"/>
    <row r="685" s="51" customFormat="1" ht="13.5" customHeight="1" x14ac:dyDescent="0.2"/>
    <row r="686" s="51" customFormat="1" ht="13.5" customHeight="1" x14ac:dyDescent="0.2"/>
    <row r="687" s="51" customFormat="1" ht="13.5" customHeight="1" x14ac:dyDescent="0.2"/>
    <row r="688" s="51" customFormat="1" ht="13.5" customHeight="1" x14ac:dyDescent="0.2"/>
    <row r="689" s="51" customFormat="1" ht="13.5" customHeight="1" x14ac:dyDescent="0.2"/>
    <row r="690" s="51" customFormat="1" ht="13.5" customHeight="1" x14ac:dyDescent="0.2"/>
    <row r="691" s="51" customFormat="1" ht="13.5" customHeight="1" x14ac:dyDescent="0.2"/>
    <row r="692" s="51" customFormat="1" ht="13.5" customHeight="1" x14ac:dyDescent="0.2"/>
    <row r="693" s="51" customFormat="1" ht="13.5" customHeight="1" x14ac:dyDescent="0.2"/>
    <row r="694" s="51" customFormat="1" ht="13.5" customHeight="1" x14ac:dyDescent="0.2"/>
    <row r="695" s="51" customFormat="1" ht="13.5" customHeight="1" x14ac:dyDescent="0.2"/>
    <row r="696" s="51" customFormat="1" ht="13.5" customHeight="1" x14ac:dyDescent="0.2"/>
    <row r="697" s="51" customFormat="1" ht="13.5" customHeight="1" x14ac:dyDescent="0.2"/>
    <row r="698" s="51" customFormat="1" ht="13.5" customHeight="1" x14ac:dyDescent="0.2"/>
    <row r="699" s="51" customFormat="1" ht="13.5" customHeight="1" x14ac:dyDescent="0.2"/>
    <row r="700" s="51" customFormat="1" ht="13.5" customHeight="1" x14ac:dyDescent="0.2"/>
    <row r="701" s="51" customFormat="1" ht="13.5" customHeight="1" x14ac:dyDescent="0.2"/>
    <row r="702" s="51" customFormat="1" ht="13.5" customHeight="1" x14ac:dyDescent="0.2"/>
    <row r="703" s="51" customFormat="1" ht="13.5" customHeight="1" x14ac:dyDescent="0.2"/>
    <row r="704" s="51" customFormat="1" ht="13.5" customHeight="1" x14ac:dyDescent="0.2"/>
    <row r="705" s="51" customFormat="1" ht="13.5" customHeight="1" x14ac:dyDescent="0.2"/>
    <row r="706" s="51" customFormat="1" ht="13.5" customHeight="1" x14ac:dyDescent="0.2"/>
    <row r="707" s="51" customFormat="1" ht="13.5" customHeight="1" x14ac:dyDescent="0.2"/>
    <row r="708" s="51" customFormat="1" ht="13.5" customHeight="1" x14ac:dyDescent="0.2"/>
    <row r="709" s="51" customFormat="1" ht="13.5" customHeight="1" x14ac:dyDescent="0.2"/>
    <row r="710" s="51" customFormat="1" ht="13.5" customHeight="1" x14ac:dyDescent="0.2"/>
    <row r="711" s="51" customFormat="1" ht="13.5" customHeight="1" x14ac:dyDescent="0.2"/>
    <row r="712" s="51" customFormat="1" ht="13.5" customHeight="1" x14ac:dyDescent="0.2"/>
    <row r="713" s="51" customFormat="1" ht="13.5" customHeight="1" x14ac:dyDescent="0.2"/>
    <row r="714" s="51" customFormat="1" ht="13.5" customHeight="1" x14ac:dyDescent="0.2"/>
    <row r="715" s="51" customFormat="1" ht="13.5" customHeight="1" x14ac:dyDescent="0.2"/>
    <row r="716" s="51" customFormat="1" ht="13.5" customHeight="1" x14ac:dyDescent="0.2"/>
    <row r="717" s="51" customFormat="1" ht="13.5" customHeight="1" x14ac:dyDescent="0.2"/>
    <row r="718" s="51" customFormat="1" ht="13.5" customHeight="1" x14ac:dyDescent="0.2"/>
    <row r="719" s="51" customFormat="1" ht="13.5" customHeight="1" x14ac:dyDescent="0.2"/>
    <row r="720" s="51" customFormat="1" ht="13.5" customHeight="1" x14ac:dyDescent="0.2"/>
    <row r="721" s="51" customFormat="1" ht="13.5" customHeight="1" x14ac:dyDescent="0.2"/>
    <row r="722" s="51" customFormat="1" ht="13.5" customHeight="1" x14ac:dyDescent="0.2"/>
    <row r="723" s="51" customFormat="1" ht="13.5" customHeight="1" x14ac:dyDescent="0.2"/>
    <row r="724" s="51" customFormat="1" ht="13.5" customHeight="1" x14ac:dyDescent="0.2"/>
    <row r="725" s="51" customFormat="1" ht="13.5" customHeight="1" x14ac:dyDescent="0.2"/>
    <row r="726" s="51" customFormat="1" ht="13.5" customHeight="1" x14ac:dyDescent="0.2"/>
    <row r="727" s="51" customFormat="1" ht="13.5" customHeight="1" x14ac:dyDescent="0.2"/>
    <row r="728" s="51" customFormat="1" ht="13.5" customHeight="1" x14ac:dyDescent="0.2"/>
    <row r="729" s="51" customFormat="1" ht="13.5" customHeight="1" x14ac:dyDescent="0.2"/>
    <row r="730" s="51" customFormat="1" ht="13.5" customHeight="1" x14ac:dyDescent="0.2"/>
    <row r="731" s="51" customFormat="1" ht="13.5" customHeight="1" x14ac:dyDescent="0.2"/>
    <row r="732" s="51" customFormat="1" ht="13.5" customHeight="1" x14ac:dyDescent="0.2"/>
    <row r="733" s="51" customFormat="1" ht="13.5" customHeight="1" x14ac:dyDescent="0.2"/>
    <row r="734" s="51" customFormat="1" ht="13.5" customHeight="1" x14ac:dyDescent="0.2"/>
    <row r="735" s="51" customFormat="1" ht="13.5" customHeight="1" x14ac:dyDescent="0.2"/>
    <row r="736" s="51" customFormat="1" ht="13.5" customHeight="1" x14ac:dyDescent="0.2"/>
    <row r="737" s="51" customFormat="1" ht="13.5" customHeight="1" x14ac:dyDescent="0.2"/>
    <row r="738" s="51" customFormat="1" ht="13.5" customHeight="1" x14ac:dyDescent="0.2"/>
    <row r="739" s="51" customFormat="1" ht="13.5" customHeight="1" x14ac:dyDescent="0.2"/>
    <row r="740" s="51" customFormat="1" ht="13.5" customHeight="1" x14ac:dyDescent="0.2"/>
    <row r="741" s="51" customFormat="1" ht="13.5" customHeight="1" x14ac:dyDescent="0.2"/>
    <row r="742" s="51" customFormat="1" ht="13.5" customHeight="1" x14ac:dyDescent="0.2"/>
    <row r="743" s="51" customFormat="1" ht="13.5" customHeight="1" x14ac:dyDescent="0.2"/>
    <row r="744" s="51" customFormat="1" ht="13.5" customHeight="1" x14ac:dyDescent="0.2"/>
    <row r="745" s="51" customFormat="1" ht="13.5" customHeight="1" x14ac:dyDescent="0.2"/>
    <row r="746" s="51" customFormat="1" ht="13.5" customHeight="1" x14ac:dyDescent="0.2"/>
    <row r="747" s="51" customFormat="1" ht="13.5" customHeight="1" x14ac:dyDescent="0.2"/>
    <row r="748" s="51" customFormat="1" ht="13.5" customHeight="1" x14ac:dyDescent="0.2"/>
    <row r="749" s="51" customFormat="1" ht="13.5" customHeight="1" x14ac:dyDescent="0.2"/>
    <row r="750" s="51" customFormat="1" ht="13.5" customHeight="1" x14ac:dyDescent="0.2"/>
    <row r="751" s="51" customFormat="1" ht="13.5" customHeight="1" x14ac:dyDescent="0.2"/>
    <row r="752" s="51" customFormat="1" ht="13.5" customHeight="1" x14ac:dyDescent="0.2"/>
    <row r="753" s="51" customFormat="1" ht="13.5" customHeight="1" x14ac:dyDescent="0.2"/>
    <row r="754" s="51" customFormat="1" ht="13.5" customHeight="1" x14ac:dyDescent="0.2"/>
    <row r="755" s="51" customFormat="1" ht="13.5" customHeight="1" x14ac:dyDescent="0.2"/>
    <row r="756" s="51" customFormat="1" ht="13.5" customHeight="1" x14ac:dyDescent="0.2"/>
    <row r="757" s="51" customFormat="1" ht="13.5" customHeight="1" x14ac:dyDescent="0.2"/>
    <row r="758" s="51" customFormat="1" ht="13.5" customHeight="1" x14ac:dyDescent="0.2"/>
    <row r="759" s="51" customFormat="1" ht="13.5" customHeight="1" x14ac:dyDescent="0.2"/>
    <row r="760" s="51" customFormat="1" ht="13.5" customHeight="1" x14ac:dyDescent="0.2"/>
    <row r="761" s="51" customFormat="1" ht="13.5" customHeight="1" x14ac:dyDescent="0.2"/>
    <row r="762" s="51" customFormat="1" ht="13.5" customHeight="1" x14ac:dyDescent="0.2"/>
    <row r="763" s="51" customFormat="1" ht="13.5" customHeight="1" x14ac:dyDescent="0.2"/>
    <row r="764" s="51" customFormat="1" ht="13.5" customHeight="1" x14ac:dyDescent="0.2"/>
    <row r="765" s="51" customFormat="1" ht="13.5" customHeight="1" x14ac:dyDescent="0.2"/>
    <row r="766" s="51" customFormat="1" ht="13.5" customHeight="1" x14ac:dyDescent="0.2"/>
    <row r="767" s="51" customFormat="1" ht="13.5" customHeight="1" x14ac:dyDescent="0.2"/>
    <row r="768" s="51" customFormat="1" ht="13.5" customHeight="1" x14ac:dyDescent="0.2"/>
    <row r="769" s="51" customFormat="1" ht="13.5" customHeight="1" x14ac:dyDescent="0.2"/>
    <row r="770" s="51" customFormat="1" ht="13.5" customHeight="1" x14ac:dyDescent="0.2"/>
    <row r="771" s="51" customFormat="1" ht="13.5" customHeight="1" x14ac:dyDescent="0.2"/>
    <row r="772" s="51" customFormat="1" ht="13.5" customHeight="1" x14ac:dyDescent="0.2"/>
    <row r="773" s="51" customFormat="1" ht="13.5" customHeight="1" x14ac:dyDescent="0.2"/>
    <row r="774" s="51" customFormat="1" ht="13.5" customHeight="1" x14ac:dyDescent="0.2"/>
    <row r="775" s="51" customFormat="1" ht="13.5" customHeight="1" x14ac:dyDescent="0.2"/>
    <row r="776" s="51" customFormat="1" ht="13.5" customHeight="1" x14ac:dyDescent="0.2"/>
    <row r="777" s="51" customFormat="1" ht="13.5" customHeight="1" x14ac:dyDescent="0.2"/>
    <row r="778" s="51" customFormat="1" ht="13.5" customHeight="1" x14ac:dyDescent="0.2"/>
    <row r="779" s="51" customFormat="1" ht="13.5" customHeight="1" x14ac:dyDescent="0.2"/>
    <row r="780" s="51" customFormat="1" ht="13.5" customHeight="1" x14ac:dyDescent="0.2"/>
    <row r="781" s="51" customFormat="1" ht="13.5" customHeight="1" x14ac:dyDescent="0.2"/>
    <row r="782" s="51" customFormat="1" ht="13.5" customHeight="1" x14ac:dyDescent="0.2"/>
    <row r="783" s="51" customFormat="1" ht="13.5" customHeight="1" x14ac:dyDescent="0.2"/>
    <row r="784" s="51" customFormat="1" ht="13.5" customHeight="1" x14ac:dyDescent="0.2"/>
    <row r="785" s="51" customFormat="1" ht="13.5" customHeight="1" x14ac:dyDescent="0.2"/>
    <row r="786" s="51" customFormat="1" ht="13.5" customHeight="1" x14ac:dyDescent="0.2"/>
    <row r="787" s="51" customFormat="1" ht="13.5" customHeight="1" x14ac:dyDescent="0.2"/>
    <row r="788" s="51" customFormat="1" ht="13.5" customHeight="1" x14ac:dyDescent="0.2"/>
    <row r="789" s="51" customFormat="1" ht="13.5" customHeight="1" x14ac:dyDescent="0.2"/>
    <row r="790" s="51" customFormat="1" ht="13.5" customHeight="1" x14ac:dyDescent="0.2"/>
    <row r="791" s="51" customFormat="1" ht="13.5" customHeight="1" x14ac:dyDescent="0.2"/>
    <row r="792" s="51" customFormat="1" ht="13.5" customHeight="1" x14ac:dyDescent="0.2"/>
    <row r="793" s="51" customFormat="1" ht="13.5" customHeight="1" x14ac:dyDescent="0.2"/>
    <row r="794" s="51" customFormat="1" ht="13.5" customHeight="1" x14ac:dyDescent="0.2"/>
    <row r="795" s="51" customFormat="1" ht="13.5" customHeight="1" x14ac:dyDescent="0.2"/>
    <row r="796" s="51" customFormat="1" ht="13.5" customHeight="1" x14ac:dyDescent="0.2"/>
    <row r="797" s="51" customFormat="1" ht="13.5" customHeight="1" x14ac:dyDescent="0.2"/>
    <row r="798" s="51" customFormat="1" ht="13.5" customHeight="1" x14ac:dyDescent="0.2"/>
    <row r="799" s="51" customFormat="1" ht="13.5" customHeight="1" x14ac:dyDescent="0.2"/>
    <row r="800" s="51" customFormat="1" ht="13.5" customHeight="1" x14ac:dyDescent="0.2"/>
    <row r="801" s="51" customFormat="1" ht="13.5" customHeight="1" x14ac:dyDescent="0.2"/>
    <row r="802" s="51" customFormat="1" ht="13.5" customHeight="1" x14ac:dyDescent="0.2"/>
    <row r="803" s="51" customFormat="1" ht="13.5" customHeight="1" x14ac:dyDescent="0.2"/>
    <row r="804" s="51" customFormat="1" ht="13.5" customHeight="1" x14ac:dyDescent="0.2"/>
    <row r="805" s="51" customFormat="1" ht="13.5" customHeight="1" x14ac:dyDescent="0.2"/>
    <row r="806" s="51" customFormat="1" ht="13.5" customHeight="1" x14ac:dyDescent="0.2"/>
    <row r="807" s="51" customFormat="1" ht="13.5" customHeight="1" x14ac:dyDescent="0.2"/>
    <row r="808" s="51" customFormat="1" ht="13.5" customHeight="1" x14ac:dyDescent="0.2"/>
    <row r="809" s="51" customFormat="1" ht="13.5" customHeight="1" x14ac:dyDescent="0.2"/>
    <row r="810" s="51" customFormat="1" ht="13.5" customHeight="1" x14ac:dyDescent="0.2"/>
    <row r="811" s="51" customFormat="1" ht="13.5" customHeight="1" x14ac:dyDescent="0.2"/>
    <row r="812" s="51" customFormat="1" ht="13.5" customHeight="1" x14ac:dyDescent="0.2"/>
    <row r="813" s="51" customFormat="1" ht="13.5" customHeight="1" x14ac:dyDescent="0.2"/>
    <row r="814" s="51" customFormat="1" ht="13.5" customHeight="1" x14ac:dyDescent="0.2"/>
    <row r="815" s="51" customFormat="1" ht="13.5" customHeight="1" x14ac:dyDescent="0.2"/>
    <row r="816" s="51" customFormat="1" ht="13.5" customHeight="1" x14ac:dyDescent="0.2"/>
    <row r="817" s="51" customFormat="1" ht="13.5" customHeight="1" x14ac:dyDescent="0.2"/>
    <row r="818" s="51" customFormat="1" ht="13.5" customHeight="1" x14ac:dyDescent="0.2"/>
    <row r="819" s="51" customFormat="1" ht="13.5" customHeight="1" x14ac:dyDescent="0.2"/>
    <row r="820" s="51" customFormat="1" ht="13.5" customHeight="1" x14ac:dyDescent="0.2"/>
    <row r="821" s="51" customFormat="1" ht="13.5" customHeight="1" x14ac:dyDescent="0.2"/>
    <row r="822" s="51" customFormat="1" ht="13.5" customHeight="1" x14ac:dyDescent="0.2"/>
    <row r="823" s="51" customFormat="1" ht="13.5" customHeight="1" x14ac:dyDescent="0.2"/>
    <row r="824" s="51" customFormat="1" ht="13.5" customHeight="1" x14ac:dyDescent="0.2"/>
    <row r="825" s="51" customFormat="1" ht="13.5" customHeight="1" x14ac:dyDescent="0.2"/>
    <row r="826" s="51" customFormat="1" ht="13.5" customHeight="1" x14ac:dyDescent="0.2"/>
    <row r="827" s="51" customFormat="1" ht="13.5" customHeight="1" x14ac:dyDescent="0.2"/>
    <row r="828" s="51" customFormat="1" ht="13.5" customHeight="1" x14ac:dyDescent="0.2"/>
    <row r="829" s="51" customFormat="1" ht="13.5" customHeight="1" x14ac:dyDescent="0.2"/>
    <row r="830" s="51" customFormat="1" ht="13.5" customHeight="1" x14ac:dyDescent="0.2"/>
    <row r="831" s="51" customFormat="1" ht="13.5" customHeight="1" x14ac:dyDescent="0.2"/>
    <row r="832" s="51" customFormat="1" ht="13.5" customHeight="1" x14ac:dyDescent="0.2"/>
    <row r="833" s="51" customFormat="1" ht="13.5" customHeight="1" x14ac:dyDescent="0.2"/>
    <row r="834" s="51" customFormat="1" ht="13.5" customHeight="1" x14ac:dyDescent="0.2"/>
    <row r="835" s="51" customFormat="1" ht="13.5" customHeight="1" x14ac:dyDescent="0.2"/>
    <row r="836" s="51" customFormat="1" ht="13.5" customHeight="1" x14ac:dyDescent="0.2"/>
    <row r="837" s="51" customFormat="1" ht="13.5" customHeight="1" x14ac:dyDescent="0.2"/>
    <row r="838" s="51" customFormat="1" ht="13.5" customHeight="1" x14ac:dyDescent="0.2"/>
    <row r="839" s="51" customFormat="1" ht="13.5" customHeight="1" x14ac:dyDescent="0.2"/>
    <row r="840" s="51" customFormat="1" ht="13.5" customHeight="1" x14ac:dyDescent="0.2"/>
    <row r="841" s="51" customFormat="1" ht="13.5" customHeight="1" x14ac:dyDescent="0.2"/>
    <row r="842" s="51" customFormat="1" ht="13.5" customHeight="1" x14ac:dyDescent="0.2"/>
    <row r="843" s="51" customFormat="1" ht="13.5" customHeight="1" x14ac:dyDescent="0.2"/>
    <row r="844" s="51" customFormat="1" ht="13.5" customHeight="1" x14ac:dyDescent="0.2"/>
    <row r="845" s="51" customFormat="1" ht="13.5" customHeight="1" x14ac:dyDescent="0.2"/>
    <row r="846" s="51" customFormat="1" ht="13.5" customHeight="1" x14ac:dyDescent="0.2"/>
    <row r="847" s="51" customFormat="1" ht="13.5" customHeight="1" x14ac:dyDescent="0.2"/>
    <row r="848" s="51" customFormat="1" ht="13.5" customHeight="1" x14ac:dyDescent="0.2"/>
    <row r="849" s="51" customFormat="1" ht="13.5" customHeight="1" x14ac:dyDescent="0.2"/>
    <row r="850" s="51" customFormat="1" ht="13.5" customHeight="1" x14ac:dyDescent="0.2"/>
    <row r="851" s="51" customFormat="1" ht="13.5" customHeight="1" x14ac:dyDescent="0.2"/>
    <row r="852" s="51" customFormat="1" ht="13.5" customHeight="1" x14ac:dyDescent="0.2"/>
    <row r="853" s="51" customFormat="1" ht="13.5" customHeight="1" x14ac:dyDescent="0.2"/>
    <row r="854" s="51" customFormat="1" ht="13.5" customHeight="1" x14ac:dyDescent="0.2"/>
    <row r="855" s="51" customFormat="1" ht="13.5" customHeight="1" x14ac:dyDescent="0.2"/>
    <row r="856" s="51" customFormat="1" ht="13.5" customHeight="1" x14ac:dyDescent="0.2"/>
    <row r="857" s="51" customFormat="1" ht="13.5" customHeight="1" x14ac:dyDescent="0.2"/>
    <row r="858" s="51" customFormat="1" ht="13.5" customHeight="1" x14ac:dyDescent="0.2"/>
    <row r="859" s="51" customFormat="1" ht="13.5" customHeight="1" x14ac:dyDescent="0.2"/>
    <row r="860" s="51" customFormat="1" ht="13.5" customHeight="1" x14ac:dyDescent="0.2"/>
    <row r="861" s="51" customFormat="1" ht="13.5" customHeight="1" x14ac:dyDescent="0.2"/>
    <row r="862" s="51" customFormat="1" ht="13.5" customHeight="1" x14ac:dyDescent="0.2"/>
    <row r="863" s="51" customFormat="1" ht="13.5" customHeight="1" x14ac:dyDescent="0.2"/>
    <row r="864" s="51" customFormat="1" ht="13.5" customHeight="1" x14ac:dyDescent="0.2"/>
    <row r="865" s="51" customFormat="1" ht="13.5" customHeight="1" x14ac:dyDescent="0.2"/>
    <row r="866" s="51" customFormat="1" ht="13.5" customHeight="1" x14ac:dyDescent="0.2"/>
    <row r="867" s="51" customFormat="1" ht="13.5" customHeight="1" x14ac:dyDescent="0.2"/>
    <row r="868" s="51" customFormat="1" ht="13.5" customHeight="1" x14ac:dyDescent="0.2"/>
    <row r="869" s="51" customFormat="1" ht="13.5" customHeight="1" x14ac:dyDescent="0.2"/>
    <row r="870" s="51" customFormat="1" ht="13.5" customHeight="1" x14ac:dyDescent="0.2"/>
    <row r="871" s="51" customFormat="1" ht="13.5" customHeight="1" x14ac:dyDescent="0.2"/>
    <row r="872" s="51" customFormat="1" ht="13.5" customHeight="1" x14ac:dyDescent="0.2"/>
    <row r="873" s="51" customFormat="1" ht="13.5" customHeight="1" x14ac:dyDescent="0.2"/>
    <row r="874" s="51" customFormat="1" ht="13.5" customHeight="1" x14ac:dyDescent="0.2"/>
    <row r="875" s="51" customFormat="1" ht="13.5" customHeight="1" x14ac:dyDescent="0.2"/>
    <row r="876" s="51" customFormat="1" ht="13.5" customHeight="1" x14ac:dyDescent="0.2"/>
    <row r="877" s="51" customFormat="1" ht="13.5" customHeight="1" x14ac:dyDescent="0.2"/>
    <row r="878" s="51" customFormat="1" ht="13.5" customHeight="1" x14ac:dyDescent="0.2"/>
    <row r="879" s="51" customFormat="1" ht="13.5" customHeight="1" x14ac:dyDescent="0.2"/>
    <row r="880" s="51" customFormat="1" ht="13.5" customHeight="1" x14ac:dyDescent="0.2"/>
    <row r="881" s="51" customFormat="1" ht="13.5" customHeight="1" x14ac:dyDescent="0.2"/>
    <row r="882" s="51" customFormat="1" ht="13.5" customHeight="1" x14ac:dyDescent="0.2"/>
    <row r="883" s="51" customFormat="1" ht="13.5" customHeight="1" x14ac:dyDescent="0.2"/>
    <row r="884" s="51" customFormat="1" ht="13.5" customHeight="1" x14ac:dyDescent="0.2"/>
    <row r="885" s="51" customFormat="1" ht="13.5" customHeight="1" x14ac:dyDescent="0.2"/>
    <row r="886" s="51" customFormat="1" ht="13.5" customHeight="1" x14ac:dyDescent="0.2"/>
    <row r="887" s="51" customFormat="1" ht="13.5" customHeight="1" x14ac:dyDescent="0.2"/>
    <row r="888" s="51" customFormat="1" ht="13.5" customHeight="1" x14ac:dyDescent="0.2"/>
    <row r="889" s="51" customFormat="1" ht="13.5" customHeight="1" x14ac:dyDescent="0.2"/>
    <row r="890" s="51" customFormat="1" ht="13.5" customHeight="1" x14ac:dyDescent="0.2"/>
    <row r="891" s="51" customFormat="1" ht="13.5" customHeight="1" x14ac:dyDescent="0.2"/>
    <row r="892" s="51" customFormat="1" ht="13.5" customHeight="1" x14ac:dyDescent="0.2"/>
    <row r="893" s="51" customFormat="1" ht="13.5" customHeight="1" x14ac:dyDescent="0.2"/>
    <row r="894" s="51" customFormat="1" ht="13.5" customHeight="1" x14ac:dyDescent="0.2"/>
    <row r="895" s="51" customFormat="1" ht="13.5" customHeight="1" x14ac:dyDescent="0.2"/>
    <row r="896" s="51" customFormat="1" ht="13.5" customHeight="1" x14ac:dyDescent="0.2"/>
    <row r="897" s="51" customFormat="1" ht="13.5" customHeight="1" x14ac:dyDescent="0.2"/>
    <row r="898" s="51" customFormat="1" ht="13.5" customHeight="1" x14ac:dyDescent="0.2"/>
    <row r="899" s="51" customFormat="1" ht="13.5" customHeight="1" x14ac:dyDescent="0.2"/>
    <row r="900" s="51" customFormat="1" ht="13.5" customHeight="1" x14ac:dyDescent="0.2"/>
    <row r="901" s="51" customFormat="1" ht="13.5" customHeight="1" x14ac:dyDescent="0.2"/>
    <row r="902" s="51" customFormat="1" ht="13.5" customHeight="1" x14ac:dyDescent="0.2"/>
    <row r="903" s="51" customFormat="1" ht="13.5" customHeight="1" x14ac:dyDescent="0.2"/>
    <row r="904" s="51" customFormat="1" ht="13.5" customHeight="1" x14ac:dyDescent="0.2"/>
    <row r="905" s="51" customFormat="1" ht="13.5" customHeight="1" x14ac:dyDescent="0.2"/>
    <row r="906" s="51" customFormat="1" ht="13.5" customHeight="1" x14ac:dyDescent="0.2"/>
    <row r="907" s="51" customFormat="1" ht="13.5" customHeight="1" x14ac:dyDescent="0.2"/>
    <row r="908" s="51" customFormat="1" ht="13.5" customHeight="1" x14ac:dyDescent="0.2"/>
    <row r="909" s="51" customFormat="1" ht="13.5" customHeight="1" x14ac:dyDescent="0.2"/>
    <row r="910" s="51" customFormat="1" ht="13.5" customHeight="1" x14ac:dyDescent="0.2"/>
    <row r="911" s="51" customFormat="1" ht="13.5" customHeight="1" x14ac:dyDescent="0.2"/>
    <row r="912" s="51" customFormat="1" ht="13.5" customHeight="1" x14ac:dyDescent="0.2"/>
    <row r="913" s="51" customFormat="1" ht="13.5" customHeight="1" x14ac:dyDescent="0.2"/>
    <row r="914" s="51" customFormat="1" ht="13.5" customHeight="1" x14ac:dyDescent="0.2"/>
    <row r="915" s="51" customFormat="1" ht="13.5" customHeight="1" x14ac:dyDescent="0.2"/>
    <row r="916" s="51" customFormat="1" ht="13.5" customHeight="1" x14ac:dyDescent="0.2"/>
    <row r="917" s="51" customFormat="1" ht="13.5" customHeight="1" x14ac:dyDescent="0.2"/>
    <row r="918" s="51" customFormat="1" ht="13.5" customHeight="1" x14ac:dyDescent="0.2"/>
    <row r="919" s="51" customFormat="1" ht="13.5" customHeight="1" x14ac:dyDescent="0.2"/>
    <row r="920" s="51" customFormat="1" ht="13.5" customHeight="1" x14ac:dyDescent="0.2"/>
    <row r="921" s="51" customFormat="1" ht="13.5" customHeight="1" x14ac:dyDescent="0.2"/>
    <row r="922" s="51" customFormat="1" ht="13.5" customHeight="1" x14ac:dyDescent="0.2"/>
    <row r="923" s="51" customFormat="1" ht="13.5" customHeight="1" x14ac:dyDescent="0.2"/>
    <row r="924" s="51" customFormat="1" ht="13.5" customHeight="1" x14ac:dyDescent="0.2"/>
    <row r="925" s="51" customFormat="1" ht="13.5" customHeight="1" x14ac:dyDescent="0.2"/>
    <row r="926" s="51" customFormat="1" ht="13.5" customHeight="1" x14ac:dyDescent="0.2"/>
    <row r="927" s="51" customFormat="1" ht="13.5" customHeight="1" x14ac:dyDescent="0.2"/>
    <row r="928" s="51" customFormat="1" ht="13.5" customHeight="1" x14ac:dyDescent="0.2"/>
    <row r="929" s="51" customFormat="1" ht="13.5" customHeight="1" x14ac:dyDescent="0.2"/>
    <row r="930" s="51" customFormat="1" ht="13.5" customHeight="1" x14ac:dyDescent="0.2"/>
    <row r="931" s="51" customFormat="1" ht="13.5" customHeight="1" x14ac:dyDescent="0.2"/>
    <row r="932" s="51" customFormat="1" ht="13.5" customHeight="1" x14ac:dyDescent="0.2"/>
    <row r="933" s="51" customFormat="1" ht="13.5" customHeight="1" x14ac:dyDescent="0.2"/>
    <row r="934" s="51" customFormat="1" ht="13.5" customHeight="1" x14ac:dyDescent="0.2"/>
    <row r="935" s="51" customFormat="1" ht="13.5" customHeight="1" x14ac:dyDescent="0.2"/>
    <row r="936" s="51" customFormat="1" ht="13.5" customHeight="1" x14ac:dyDescent="0.2"/>
    <row r="937" s="51" customFormat="1" ht="13.5" customHeight="1" x14ac:dyDescent="0.2"/>
    <row r="938" s="51" customFormat="1" ht="13.5" customHeight="1" x14ac:dyDescent="0.2"/>
    <row r="939" s="51" customFormat="1" ht="13.5" customHeight="1" x14ac:dyDescent="0.2"/>
    <row r="940" s="51" customFormat="1" ht="13.5" customHeight="1" x14ac:dyDescent="0.2"/>
    <row r="941" s="51" customFormat="1" ht="13.5" customHeight="1" x14ac:dyDescent="0.2"/>
    <row r="942" s="51" customFormat="1" ht="13.5" customHeight="1" x14ac:dyDescent="0.2"/>
    <row r="943" s="51" customFormat="1" ht="13.5" customHeight="1" x14ac:dyDescent="0.2"/>
    <row r="944" s="51" customFormat="1" ht="13.5" customHeight="1" x14ac:dyDescent="0.2"/>
    <row r="945" s="51" customFormat="1" ht="13.5" customHeight="1" x14ac:dyDescent="0.2"/>
    <row r="946" s="51" customFormat="1" ht="13.5" customHeight="1" x14ac:dyDescent="0.2"/>
    <row r="947" s="51" customFormat="1" ht="13.5" customHeight="1" x14ac:dyDescent="0.2"/>
    <row r="948" s="51" customFormat="1" ht="13.5" customHeight="1" x14ac:dyDescent="0.2"/>
    <row r="949" s="51" customFormat="1" ht="13.5" customHeight="1" x14ac:dyDescent="0.2"/>
    <row r="950" s="51" customFormat="1" ht="13.5" customHeight="1" x14ac:dyDescent="0.2"/>
    <row r="951" s="51" customFormat="1" ht="13.5" customHeight="1" x14ac:dyDescent="0.2"/>
    <row r="952" s="51" customFormat="1" ht="13.5" customHeight="1" x14ac:dyDescent="0.2"/>
    <row r="953" s="51" customFormat="1" ht="13.5" customHeight="1" x14ac:dyDescent="0.2"/>
    <row r="954" s="51" customFormat="1" ht="13.5" customHeight="1" x14ac:dyDescent="0.2"/>
    <row r="955" s="51" customFormat="1" ht="13.5" customHeight="1" x14ac:dyDescent="0.2"/>
    <row r="956" s="51" customFormat="1" ht="13.5" customHeight="1" x14ac:dyDescent="0.2"/>
    <row r="957" s="51" customFormat="1" ht="13.5" customHeight="1" x14ac:dyDescent="0.2"/>
    <row r="958" s="51" customFormat="1" ht="13.5" customHeight="1" x14ac:dyDescent="0.2"/>
    <row r="959" s="51" customFormat="1" ht="13.5" customHeight="1" x14ac:dyDescent="0.2"/>
    <row r="960" s="51" customFormat="1" ht="13.5" customHeight="1" x14ac:dyDescent="0.2"/>
    <row r="961" s="51" customFormat="1" ht="13.5" customHeight="1" x14ac:dyDescent="0.2"/>
    <row r="962" s="51" customFormat="1" ht="13.5" customHeight="1" x14ac:dyDescent="0.2"/>
    <row r="963" s="51" customFormat="1" ht="13.5" customHeight="1" x14ac:dyDescent="0.2"/>
    <row r="964" s="51" customFormat="1" ht="13.5" customHeight="1" x14ac:dyDescent="0.2"/>
    <row r="965" s="51" customFormat="1" ht="13.5" customHeight="1" x14ac:dyDescent="0.2"/>
    <row r="966" s="51" customFormat="1" ht="13.5" customHeight="1" x14ac:dyDescent="0.2"/>
    <row r="967" s="51" customFormat="1" ht="13.5" customHeight="1" x14ac:dyDescent="0.2"/>
    <row r="968" s="51" customFormat="1" ht="13.5" customHeight="1" x14ac:dyDescent="0.2"/>
    <row r="969" s="51" customFormat="1" ht="13.5" customHeight="1" x14ac:dyDescent="0.2"/>
    <row r="970" s="51" customFormat="1" ht="13.5" customHeight="1" x14ac:dyDescent="0.2"/>
    <row r="971" s="51" customFormat="1" ht="13.5" customHeight="1" x14ac:dyDescent="0.2"/>
    <row r="972" s="51" customFormat="1" ht="13.5" customHeight="1" x14ac:dyDescent="0.2"/>
    <row r="973" s="51" customFormat="1" ht="13.5" customHeight="1" x14ac:dyDescent="0.2"/>
    <row r="974" s="51" customFormat="1" ht="13.5" customHeight="1" x14ac:dyDescent="0.2"/>
    <row r="975" s="51" customFormat="1" ht="13.5" customHeight="1" x14ac:dyDescent="0.2"/>
    <row r="976" s="51" customFormat="1" ht="13.5" customHeight="1" x14ac:dyDescent="0.2"/>
    <row r="977" s="51" customFormat="1" ht="13.5" customHeight="1" x14ac:dyDescent="0.2"/>
    <row r="978" s="51" customFormat="1" ht="13.5" customHeight="1" x14ac:dyDescent="0.2"/>
    <row r="979" s="51" customFormat="1" ht="13.5" customHeight="1" x14ac:dyDescent="0.2"/>
    <row r="980" s="51" customFormat="1" ht="13.5" customHeight="1" x14ac:dyDescent="0.2"/>
    <row r="981" s="51" customFormat="1" ht="13.5" customHeight="1" x14ac:dyDescent="0.2"/>
    <row r="982" s="51" customFormat="1" ht="13.5" customHeight="1" x14ac:dyDescent="0.2"/>
    <row r="983" s="51" customFormat="1" ht="13.5" customHeight="1" x14ac:dyDescent="0.2"/>
    <row r="984" s="51" customFormat="1" ht="13.5" customHeight="1" x14ac:dyDescent="0.2"/>
    <row r="985" s="51" customFormat="1" ht="13.5" customHeight="1" x14ac:dyDescent="0.2"/>
    <row r="986" s="51" customFormat="1" ht="13.5" customHeight="1" x14ac:dyDescent="0.2"/>
    <row r="987" s="51" customFormat="1" ht="13.5" customHeight="1" x14ac:dyDescent="0.2"/>
    <row r="988" s="51" customFormat="1" ht="13.5" customHeight="1" x14ac:dyDescent="0.2"/>
    <row r="989" s="51" customFormat="1" ht="13.5" customHeight="1" x14ac:dyDescent="0.2"/>
    <row r="990" s="51" customFormat="1" ht="13.5" customHeight="1" x14ac:dyDescent="0.2"/>
    <row r="991" s="51" customFormat="1" ht="13.5" customHeight="1" x14ac:dyDescent="0.2"/>
    <row r="992" s="51" customFormat="1" ht="13.5" customHeight="1" x14ac:dyDescent="0.2"/>
    <row r="993" s="51" customFormat="1" ht="13.5" customHeight="1" x14ac:dyDescent="0.2"/>
    <row r="994" s="51" customFormat="1" ht="13.5" customHeight="1" x14ac:dyDescent="0.2"/>
    <row r="995" s="51" customFormat="1" ht="13.5" customHeight="1" x14ac:dyDescent="0.2"/>
    <row r="996" s="51" customFormat="1" ht="13.5" customHeight="1" x14ac:dyDescent="0.2"/>
    <row r="997" s="51" customFormat="1" ht="13.5" customHeight="1" x14ac:dyDescent="0.2"/>
    <row r="998" s="51" customFormat="1" ht="13.5" customHeight="1" x14ac:dyDescent="0.2"/>
    <row r="999" s="51" customFormat="1" ht="13.5" customHeight="1" x14ac:dyDescent="0.2"/>
  </sheetData>
  <mergeCells count="10">
    <mergeCell ref="C21:I21"/>
    <mergeCell ref="C22:I22"/>
    <mergeCell ref="B24:I24"/>
    <mergeCell ref="B2:I3"/>
    <mergeCell ref="B4:I4"/>
    <mergeCell ref="B16:I16"/>
    <mergeCell ref="C17:I17"/>
    <mergeCell ref="C18:I18"/>
    <mergeCell ref="C19:I19"/>
    <mergeCell ref="C20:I20"/>
  </mergeCells>
  <conditionalFormatting sqref="C13">
    <cfRule type="containsText" dxfId="15" priority="1" operator="containsText" text="PASS">
      <formula>NOT(ISERROR(SEARCH(("PASS"),(C13))))</formula>
    </cfRule>
    <cfRule type="containsText" dxfId="14" priority="2" operator="containsText" text="FAIL">
      <formula>NOT(ISERROR(SEARCH(("FAIL"),(C13))))</formula>
    </cfRule>
    <cfRule type="containsText" dxfId="13" priority="3" operator="containsText" text="WATCH">
      <formula>NOT(ISERROR(SEARCH(("WATCH"),(C13))))</formula>
    </cfRule>
  </conditionalFormatting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1000"/>
  <sheetViews>
    <sheetView showGridLines="0" workbookViewId="0">
      <selection activeCell="B23" sqref="B23:N23"/>
    </sheetView>
  </sheetViews>
  <sheetFormatPr baseColWidth="10" defaultColWidth="12.6640625" defaultRowHeight="15" customHeight="1" x14ac:dyDescent="0.2"/>
  <cols>
    <col min="1" max="1" width="3.33203125" style="51" customWidth="1"/>
    <col min="2" max="2" width="31" style="51" customWidth="1"/>
    <col min="3" max="14" width="12" style="51" customWidth="1"/>
    <col min="15" max="27" width="8.83203125" style="51" customWidth="1"/>
    <col min="28" max="16384" width="12.6640625" style="51"/>
  </cols>
  <sheetData>
    <row r="2" spans="2:14" ht="13.5" customHeight="1" x14ac:dyDescent="0.2">
      <c r="B2" s="57" t="s">
        <v>181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</row>
    <row r="3" spans="2:14" ht="13.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</row>
    <row r="4" spans="2:14" ht="13.5" customHeight="1" x14ac:dyDescent="0.2">
      <c r="B4" s="74" t="s">
        <v>182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2:14" ht="13.5" customHeight="1" x14ac:dyDescent="0.2"/>
    <row r="6" spans="2:14" ht="13.5" customHeight="1" x14ac:dyDescent="0.2">
      <c r="B6" s="50" t="s">
        <v>183</v>
      </c>
      <c r="C6" s="18">
        <v>46388</v>
      </c>
      <c r="D6" s="18">
        <v>46419</v>
      </c>
      <c r="E6" s="18">
        <v>46447</v>
      </c>
      <c r="F6" s="18">
        <v>46478</v>
      </c>
      <c r="G6" s="18">
        <v>46508</v>
      </c>
      <c r="H6" s="18">
        <v>46539</v>
      </c>
      <c r="I6" s="18">
        <v>46569</v>
      </c>
      <c r="J6" s="18">
        <v>46600</v>
      </c>
      <c r="K6" s="18">
        <v>46631</v>
      </c>
      <c r="L6" s="18">
        <v>46661</v>
      </c>
      <c r="M6" s="18">
        <v>46692</v>
      </c>
      <c r="N6" s="18">
        <v>46722</v>
      </c>
    </row>
    <row r="7" spans="2:14" ht="13.5" customHeight="1" x14ac:dyDescent="0.2"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2:14" ht="13.5" customHeight="1" x14ac:dyDescent="0.2">
      <c r="B8" s="66" t="s">
        <v>184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8"/>
    </row>
    <row r="9" spans="2:14" ht="13.5" customHeight="1" x14ac:dyDescent="0.2">
      <c r="B9" s="19" t="s">
        <v>185</v>
      </c>
      <c r="C9" s="20">
        <f>HC!C$66</f>
        <v>8.202</v>
      </c>
      <c r="D9" s="20">
        <f>HC!D$66</f>
        <v>8.651288000000001</v>
      </c>
      <c r="E9" s="20">
        <f>HC!E$66</f>
        <v>9.3448892719999996</v>
      </c>
      <c r="F9" s="20">
        <f>HC!F$66</f>
        <v>10.279855882368</v>
      </c>
      <c r="G9" s="20">
        <f>HC!G$66</f>
        <v>11.209212693073793</v>
      </c>
      <c r="H9" s="20">
        <f>HC!H$66</f>
        <v>12.132993362915352</v>
      </c>
      <c r="I9" s="20">
        <f>HC!I$66</f>
        <v>13.051231348737858</v>
      </c>
      <c r="J9" s="20">
        <f>HC!J$66</f>
        <v>13.963959906645432</v>
      </c>
      <c r="K9" s="20">
        <f>HC!K$66</f>
        <v>14.87121209320556</v>
      </c>
      <c r="L9" s="20">
        <f>HC!L$66</f>
        <v>15.773020766646328</v>
      </c>
      <c r="M9" s="20">
        <f>HC!M$66</f>
        <v>16.669418588046451</v>
      </c>
      <c r="N9" s="20">
        <f>HC!N$66</f>
        <v>17.56043802251817</v>
      </c>
    </row>
    <row r="10" spans="2:14" ht="13.5" customHeight="1" x14ac:dyDescent="0.2">
      <c r="B10" s="19" t="s">
        <v>186</v>
      </c>
      <c r="C10" s="21">
        <f>Assumptions!$F$12</f>
        <v>55</v>
      </c>
      <c r="D10" s="21">
        <f>Assumptions!$F$12</f>
        <v>55</v>
      </c>
      <c r="E10" s="21">
        <f>Assumptions!$F$12</f>
        <v>55</v>
      </c>
      <c r="F10" s="21">
        <f>Assumptions!$F$12</f>
        <v>55</v>
      </c>
      <c r="G10" s="21">
        <f>Assumptions!$F$12</f>
        <v>55</v>
      </c>
      <c r="H10" s="21">
        <f>Assumptions!$F$12</f>
        <v>55</v>
      </c>
      <c r="I10" s="21">
        <f>Assumptions!$F$12</f>
        <v>55</v>
      </c>
      <c r="J10" s="21">
        <f>Assumptions!$F$12</f>
        <v>55</v>
      </c>
      <c r="K10" s="21">
        <f>Assumptions!$F$12</f>
        <v>55</v>
      </c>
      <c r="L10" s="21">
        <f>Assumptions!$F$12</f>
        <v>55</v>
      </c>
      <c r="M10" s="21">
        <f>Assumptions!$F$12</f>
        <v>55</v>
      </c>
      <c r="N10" s="21">
        <f>Assumptions!$F$12</f>
        <v>55</v>
      </c>
    </row>
    <row r="11" spans="2:14" ht="13.5" customHeight="1" x14ac:dyDescent="0.2">
      <c r="B11" s="22" t="s">
        <v>187</v>
      </c>
      <c r="C11" s="23">
        <f t="shared" ref="C11:N11" si="0">C9*C10</f>
        <v>451.11</v>
      </c>
      <c r="D11" s="23">
        <f t="shared" si="0"/>
        <v>475.82084000000003</v>
      </c>
      <c r="E11" s="23">
        <f t="shared" si="0"/>
        <v>513.96890996000002</v>
      </c>
      <c r="F11" s="23">
        <f t="shared" si="0"/>
        <v>565.39207353024005</v>
      </c>
      <c r="G11" s="23">
        <f t="shared" si="0"/>
        <v>616.50669811905857</v>
      </c>
      <c r="H11" s="23">
        <f t="shared" si="0"/>
        <v>667.31463496034439</v>
      </c>
      <c r="I11" s="23">
        <f t="shared" si="0"/>
        <v>717.81772418058222</v>
      </c>
      <c r="J11" s="23">
        <f t="shared" si="0"/>
        <v>768.01779486549879</v>
      </c>
      <c r="K11" s="23">
        <f t="shared" si="0"/>
        <v>817.91666512630582</v>
      </c>
      <c r="L11" s="23">
        <f t="shared" si="0"/>
        <v>867.51614216554799</v>
      </c>
      <c r="M11" s="23">
        <f t="shared" si="0"/>
        <v>916.81802234255485</v>
      </c>
      <c r="N11" s="23">
        <f t="shared" si="0"/>
        <v>965.82409123849936</v>
      </c>
    </row>
    <row r="12" spans="2:14" ht="13.5" customHeight="1" x14ac:dyDescent="0.2">
      <c r="B12" s="19" t="s">
        <v>188</v>
      </c>
      <c r="C12" s="21">
        <f>Assumptions!$F$13</f>
        <v>66</v>
      </c>
      <c r="D12" s="21">
        <f>Assumptions!$F$13</f>
        <v>66</v>
      </c>
      <c r="E12" s="21">
        <f>Assumptions!$F$13</f>
        <v>66</v>
      </c>
      <c r="F12" s="21">
        <f>Assumptions!$F$13</f>
        <v>66</v>
      </c>
      <c r="G12" s="21">
        <f>Assumptions!$F$13</f>
        <v>66</v>
      </c>
      <c r="H12" s="21">
        <f>Assumptions!$F$13</f>
        <v>66</v>
      </c>
      <c r="I12" s="21">
        <f>Assumptions!$F$13</f>
        <v>66</v>
      </c>
      <c r="J12" s="21">
        <f>Assumptions!$F$13</f>
        <v>66</v>
      </c>
      <c r="K12" s="21">
        <f>Assumptions!$F$13</f>
        <v>66</v>
      </c>
      <c r="L12" s="21">
        <f>Assumptions!$F$13</f>
        <v>66</v>
      </c>
      <c r="M12" s="21">
        <f>Assumptions!$F$13</f>
        <v>66</v>
      </c>
      <c r="N12" s="21">
        <f>Assumptions!$F$13</f>
        <v>66</v>
      </c>
    </row>
    <row r="13" spans="2:14" ht="13.5" customHeight="1" x14ac:dyDescent="0.2">
      <c r="B13" s="19" t="s">
        <v>189</v>
      </c>
      <c r="C13" s="24">
        <f t="shared" ref="C13:N13" si="1">IFERROR(C11/C12,0)</f>
        <v>6.835</v>
      </c>
      <c r="D13" s="24">
        <f t="shared" si="1"/>
        <v>7.2094066666666672</v>
      </c>
      <c r="E13" s="24">
        <f t="shared" si="1"/>
        <v>7.7874077266666673</v>
      </c>
      <c r="F13" s="24">
        <f t="shared" si="1"/>
        <v>8.5665465686400015</v>
      </c>
      <c r="G13" s="24">
        <f t="shared" si="1"/>
        <v>9.3410105775614927</v>
      </c>
      <c r="H13" s="24">
        <f t="shared" si="1"/>
        <v>10.11082780242946</v>
      </c>
      <c r="I13" s="24">
        <f t="shared" si="1"/>
        <v>10.876026123948215</v>
      </c>
      <c r="J13" s="24">
        <f t="shared" si="1"/>
        <v>11.636633255537861</v>
      </c>
      <c r="K13" s="24">
        <f t="shared" si="1"/>
        <v>12.392676744337967</v>
      </c>
      <c r="L13" s="24">
        <f t="shared" si="1"/>
        <v>13.144183972205273</v>
      </c>
      <c r="M13" s="24">
        <f t="shared" si="1"/>
        <v>13.891182156705376</v>
      </c>
      <c r="N13" s="24">
        <f t="shared" si="1"/>
        <v>14.633698352098476</v>
      </c>
    </row>
    <row r="14" spans="2:14" ht="13.5" customHeight="1" x14ac:dyDescent="0.2">
      <c r="B14" s="19" t="s">
        <v>96</v>
      </c>
      <c r="C14" s="25">
        <f>Assumptions!$F$14</f>
        <v>1</v>
      </c>
      <c r="D14" s="25">
        <f>Assumptions!$F$14</f>
        <v>1</v>
      </c>
      <c r="E14" s="25">
        <f>Assumptions!$F$14</f>
        <v>1</v>
      </c>
      <c r="F14" s="25">
        <f>Assumptions!$F$14</f>
        <v>1</v>
      </c>
      <c r="G14" s="25">
        <f>Assumptions!$F$14</f>
        <v>1</v>
      </c>
      <c r="H14" s="25">
        <f>Assumptions!$F$14</f>
        <v>1</v>
      </c>
      <c r="I14" s="25">
        <f>Assumptions!$F$14</f>
        <v>1</v>
      </c>
      <c r="J14" s="25">
        <f>Assumptions!$F$14</f>
        <v>1</v>
      </c>
      <c r="K14" s="25">
        <f>Assumptions!$F$14</f>
        <v>1</v>
      </c>
      <c r="L14" s="25">
        <f>Assumptions!$F$14</f>
        <v>1</v>
      </c>
      <c r="M14" s="25">
        <f>Assumptions!$F$14</f>
        <v>1</v>
      </c>
      <c r="N14" s="25">
        <f>Assumptions!$F$14</f>
        <v>1</v>
      </c>
    </row>
    <row r="15" spans="2:14" ht="13.5" customHeight="1" x14ac:dyDescent="0.2">
      <c r="B15" s="19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2:14" ht="13.5" customHeight="1" x14ac:dyDescent="0.2">
      <c r="B16" s="66" t="s">
        <v>190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8"/>
    </row>
    <row r="17" spans="2:14" ht="13.5" customHeight="1" x14ac:dyDescent="0.2">
      <c r="B17" s="19" t="s">
        <v>191</v>
      </c>
      <c r="C17" s="20">
        <f>Assumptions!$F$8</f>
        <v>100</v>
      </c>
      <c r="D17" s="24">
        <f t="shared" ref="D17:N17" si="2">C20</f>
        <v>105.83499999999999</v>
      </c>
      <c r="E17" s="24">
        <f t="shared" si="2"/>
        <v>111.98605666666666</v>
      </c>
      <c r="F17" s="24">
        <f t="shared" si="2"/>
        <v>118.65360382666665</v>
      </c>
      <c r="G17" s="24">
        <f t="shared" si="2"/>
        <v>126.03361435703999</v>
      </c>
      <c r="H17" s="24">
        <f t="shared" si="2"/>
        <v>134.11428879103107</v>
      </c>
      <c r="I17" s="24">
        <f t="shared" si="2"/>
        <v>142.88397370555023</v>
      </c>
      <c r="J17" s="24">
        <f t="shared" si="2"/>
        <v>152.33116009244293</v>
      </c>
      <c r="K17" s="24">
        <f t="shared" si="2"/>
        <v>162.44448174705636</v>
      </c>
      <c r="L17" s="24">
        <f t="shared" si="2"/>
        <v>173.21271367392376</v>
      </c>
      <c r="M17" s="24">
        <f t="shared" si="2"/>
        <v>184.62477050938978</v>
      </c>
      <c r="N17" s="24">
        <f t="shared" si="2"/>
        <v>196.66970496100126</v>
      </c>
    </row>
    <row r="18" spans="2:14" ht="13.5" customHeight="1" x14ac:dyDescent="0.2">
      <c r="B18" s="19" t="s">
        <v>189</v>
      </c>
      <c r="C18" s="24">
        <f t="shared" ref="C18:N18" si="3">C13</f>
        <v>6.835</v>
      </c>
      <c r="D18" s="24">
        <f t="shared" si="3"/>
        <v>7.2094066666666672</v>
      </c>
      <c r="E18" s="24">
        <f t="shared" si="3"/>
        <v>7.7874077266666673</v>
      </c>
      <c r="F18" s="24">
        <f t="shared" si="3"/>
        <v>8.5665465686400015</v>
      </c>
      <c r="G18" s="24">
        <f t="shared" si="3"/>
        <v>9.3410105775614927</v>
      </c>
      <c r="H18" s="24">
        <f t="shared" si="3"/>
        <v>10.11082780242946</v>
      </c>
      <c r="I18" s="24">
        <f t="shared" si="3"/>
        <v>10.876026123948215</v>
      </c>
      <c r="J18" s="24">
        <f t="shared" si="3"/>
        <v>11.636633255537861</v>
      </c>
      <c r="K18" s="24">
        <f t="shared" si="3"/>
        <v>12.392676744337967</v>
      </c>
      <c r="L18" s="24">
        <f t="shared" si="3"/>
        <v>13.144183972205273</v>
      </c>
      <c r="M18" s="24">
        <f t="shared" si="3"/>
        <v>13.891182156705376</v>
      </c>
      <c r="N18" s="24">
        <f t="shared" si="3"/>
        <v>14.633698352098476</v>
      </c>
    </row>
    <row r="19" spans="2:14" ht="13.5" customHeight="1" x14ac:dyDescent="0.2">
      <c r="B19" s="19" t="s">
        <v>192</v>
      </c>
      <c r="C19" s="24">
        <f t="shared" ref="C19:N19" si="4">C17*(1-C21)</f>
        <v>1.0000000000000009</v>
      </c>
      <c r="D19" s="24">
        <f t="shared" si="4"/>
        <v>1.0583500000000008</v>
      </c>
      <c r="E19" s="24">
        <f t="shared" si="4"/>
        <v>1.1198605666666674</v>
      </c>
      <c r="F19" s="24">
        <f t="shared" si="4"/>
        <v>1.1865360382666676</v>
      </c>
      <c r="G19" s="24">
        <f t="shared" si="4"/>
        <v>1.260336143570401</v>
      </c>
      <c r="H19" s="24">
        <f t="shared" si="4"/>
        <v>1.341142887910312</v>
      </c>
      <c r="I19" s="24">
        <f t="shared" si="4"/>
        <v>1.4288397370555035</v>
      </c>
      <c r="J19" s="24">
        <f t="shared" si="4"/>
        <v>1.5233116009244307</v>
      </c>
      <c r="K19" s="24">
        <f t="shared" si="4"/>
        <v>1.624444817470565</v>
      </c>
      <c r="L19" s="24">
        <f t="shared" si="4"/>
        <v>1.732127136739239</v>
      </c>
      <c r="M19" s="24">
        <f t="shared" si="4"/>
        <v>1.8462477050938995</v>
      </c>
      <c r="N19" s="24">
        <f t="shared" si="4"/>
        <v>1.9666970496100142</v>
      </c>
    </row>
    <row r="20" spans="2:14" ht="13.5" customHeight="1" x14ac:dyDescent="0.2">
      <c r="B20" s="27" t="s">
        <v>193</v>
      </c>
      <c r="C20" s="28">
        <f t="shared" ref="C20:N20" si="5">C17+C18-C19</f>
        <v>105.83499999999999</v>
      </c>
      <c r="D20" s="28">
        <f t="shared" si="5"/>
        <v>111.98605666666666</v>
      </c>
      <c r="E20" s="28">
        <f t="shared" si="5"/>
        <v>118.65360382666665</v>
      </c>
      <c r="F20" s="28">
        <f t="shared" si="5"/>
        <v>126.03361435703999</v>
      </c>
      <c r="G20" s="28">
        <f t="shared" si="5"/>
        <v>134.11428879103107</v>
      </c>
      <c r="H20" s="28">
        <f t="shared" si="5"/>
        <v>142.88397370555023</v>
      </c>
      <c r="I20" s="28">
        <f t="shared" si="5"/>
        <v>152.33116009244293</v>
      </c>
      <c r="J20" s="28">
        <f t="shared" si="5"/>
        <v>162.44448174705636</v>
      </c>
      <c r="K20" s="28">
        <f t="shared" si="5"/>
        <v>173.21271367392376</v>
      </c>
      <c r="L20" s="28">
        <f t="shared" si="5"/>
        <v>184.62477050938978</v>
      </c>
      <c r="M20" s="28">
        <f t="shared" si="5"/>
        <v>196.66970496100126</v>
      </c>
      <c r="N20" s="28">
        <f t="shared" si="5"/>
        <v>209.3367062634897</v>
      </c>
    </row>
    <row r="21" spans="2:14" ht="13.5" customHeight="1" x14ac:dyDescent="0.2">
      <c r="B21" s="19" t="s">
        <v>99</v>
      </c>
      <c r="C21" s="29">
        <f>Assumptions!$F$15</f>
        <v>0.99</v>
      </c>
      <c r="D21" s="29">
        <f>Assumptions!$F$15</f>
        <v>0.99</v>
      </c>
      <c r="E21" s="29">
        <f>Assumptions!$F$15</f>
        <v>0.99</v>
      </c>
      <c r="F21" s="29">
        <f>Assumptions!$F$15</f>
        <v>0.99</v>
      </c>
      <c r="G21" s="29">
        <f>Assumptions!$F$15</f>
        <v>0.99</v>
      </c>
      <c r="H21" s="29">
        <f>Assumptions!$F$15</f>
        <v>0.99</v>
      </c>
      <c r="I21" s="29">
        <f>Assumptions!$F$15</f>
        <v>0.99</v>
      </c>
      <c r="J21" s="29">
        <f>Assumptions!$F$15</f>
        <v>0.99</v>
      </c>
      <c r="K21" s="29">
        <f>Assumptions!$F$15</f>
        <v>0.99</v>
      </c>
      <c r="L21" s="29">
        <f>Assumptions!$F$15</f>
        <v>0.99</v>
      </c>
      <c r="M21" s="29">
        <f>Assumptions!$F$15</f>
        <v>0.99</v>
      </c>
      <c r="N21" s="29">
        <f>Assumptions!$F$15</f>
        <v>0.99</v>
      </c>
    </row>
    <row r="22" spans="2:14" ht="13.5" customHeight="1" x14ac:dyDescent="0.2">
      <c r="B22" s="1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2:14" ht="13.5" customHeight="1" x14ac:dyDescent="0.2">
      <c r="B23" s="66" t="s">
        <v>194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8"/>
    </row>
    <row r="24" spans="2:14" ht="13.5" customHeight="1" x14ac:dyDescent="0.2">
      <c r="B24" s="19" t="s">
        <v>102</v>
      </c>
      <c r="C24" s="29">
        <f>Assumptions!$F$16</f>
        <v>0.98799999999999999</v>
      </c>
      <c r="D24" s="29">
        <f>Assumptions!$F$16</f>
        <v>0.98799999999999999</v>
      </c>
      <c r="E24" s="29">
        <f>Assumptions!$F$16</f>
        <v>0.98799999999999999</v>
      </c>
      <c r="F24" s="29">
        <f>Assumptions!$F$16</f>
        <v>0.98799999999999999</v>
      </c>
      <c r="G24" s="29">
        <f>Assumptions!$F$16</f>
        <v>0.98799999999999999</v>
      </c>
      <c r="H24" s="29">
        <f>Assumptions!$F$16</f>
        <v>0.98799999999999999</v>
      </c>
      <c r="I24" s="29">
        <f>Assumptions!$F$16</f>
        <v>0.98799999999999999</v>
      </c>
      <c r="J24" s="29">
        <f>Assumptions!$F$16</f>
        <v>0.98799999999999999</v>
      </c>
      <c r="K24" s="29">
        <f>Assumptions!$F$16</f>
        <v>0.98799999999999999</v>
      </c>
      <c r="L24" s="29">
        <f>Assumptions!$F$16</f>
        <v>0.98799999999999999</v>
      </c>
      <c r="M24" s="29">
        <f>Assumptions!$F$16</f>
        <v>0.98799999999999999</v>
      </c>
      <c r="N24" s="29">
        <f>Assumptions!$F$16</f>
        <v>0.98799999999999999</v>
      </c>
    </row>
    <row r="25" spans="2:14" ht="13.5" customHeight="1" x14ac:dyDescent="0.2">
      <c r="B25" s="19" t="s">
        <v>104</v>
      </c>
      <c r="C25" s="29">
        <f>Assumptions!$F$17</f>
        <v>0.01</v>
      </c>
      <c r="D25" s="29">
        <f>Assumptions!$F$17</f>
        <v>0.01</v>
      </c>
      <c r="E25" s="29">
        <f>Assumptions!$F$17</f>
        <v>0.01</v>
      </c>
      <c r="F25" s="29">
        <f>Assumptions!$F$17</f>
        <v>0.01</v>
      </c>
      <c r="G25" s="29">
        <f>Assumptions!$F$17</f>
        <v>0.01</v>
      </c>
      <c r="H25" s="29">
        <f>Assumptions!$F$17</f>
        <v>0.01</v>
      </c>
      <c r="I25" s="29">
        <f>Assumptions!$F$17</f>
        <v>0.01</v>
      </c>
      <c r="J25" s="29">
        <f>Assumptions!$F$17</f>
        <v>0.01</v>
      </c>
      <c r="K25" s="29">
        <f>Assumptions!$F$17</f>
        <v>0.01</v>
      </c>
      <c r="L25" s="29">
        <f>Assumptions!$F$17</f>
        <v>0.01</v>
      </c>
      <c r="M25" s="29">
        <f>Assumptions!$F$17</f>
        <v>0.01</v>
      </c>
      <c r="N25" s="29">
        <f>Assumptions!$F$17</f>
        <v>0.01</v>
      </c>
    </row>
    <row r="26" spans="2:14" ht="13.5" customHeight="1" x14ac:dyDescent="0.2">
      <c r="B26" s="19" t="s">
        <v>106</v>
      </c>
      <c r="C26" s="29">
        <f>Assumptions!$F$18</f>
        <v>2.5000000000000001E-3</v>
      </c>
      <c r="D26" s="29">
        <f>Assumptions!$F$18</f>
        <v>2.5000000000000001E-3</v>
      </c>
      <c r="E26" s="29">
        <f>Assumptions!$F$18</f>
        <v>2.5000000000000001E-3</v>
      </c>
      <c r="F26" s="29">
        <f>Assumptions!$F$18</f>
        <v>2.5000000000000001E-3</v>
      </c>
      <c r="G26" s="29">
        <f>Assumptions!$F$18</f>
        <v>2.5000000000000001E-3</v>
      </c>
      <c r="H26" s="29">
        <f>Assumptions!$F$18</f>
        <v>2.5000000000000001E-3</v>
      </c>
      <c r="I26" s="29">
        <f>Assumptions!$F$18</f>
        <v>2.5000000000000001E-3</v>
      </c>
      <c r="J26" s="29">
        <f>Assumptions!$F$18</f>
        <v>2.5000000000000001E-3</v>
      </c>
      <c r="K26" s="29">
        <f>Assumptions!$F$18</f>
        <v>2.5000000000000001E-3</v>
      </c>
      <c r="L26" s="29">
        <f>Assumptions!$F$18</f>
        <v>2.5000000000000001E-3</v>
      </c>
      <c r="M26" s="29">
        <f>Assumptions!$F$18</f>
        <v>2.5000000000000001E-3</v>
      </c>
      <c r="N26" s="29">
        <f>Assumptions!$F$18</f>
        <v>2.5000000000000001E-3</v>
      </c>
    </row>
    <row r="27" spans="2:14" ht="13.5" customHeight="1" x14ac:dyDescent="0.2">
      <c r="B27" s="19" t="s">
        <v>195</v>
      </c>
      <c r="C27" s="21">
        <f>Assumptions!$F$9/12*(C24*(1+C25)*(1+C26))^1</f>
        <v>600.22481999999991</v>
      </c>
      <c r="D27" s="21">
        <f>Assumptions!$F$9/12*(D24*(1+D25)*(1+D26))^2</f>
        <v>600.4497242400538</v>
      </c>
      <c r="E27" s="21">
        <f>Assumptions!$F$9/12*(E24*(1+E25)*(1+E26))^3</f>
        <v>600.67471275172647</v>
      </c>
      <c r="F27" s="21">
        <f>Assumptions!$F$9/12*(F24*(1+F25)*(1+F26))^4</f>
        <v>600.89978556659446</v>
      </c>
      <c r="G27" s="21">
        <f>Assumptions!$F$9/12*(G24*(1+G25)*(1+G26))^5</f>
        <v>601.12494271624621</v>
      </c>
      <c r="H27" s="21">
        <f>Assumptions!$F$9/12*(H24*(1+H25)*(1+H26))^6</f>
        <v>601.35018423228189</v>
      </c>
      <c r="I27" s="21">
        <f>Assumptions!$F$9/12*(I24*(1+I25)*(1+I26))^7</f>
        <v>601.5755101463136</v>
      </c>
      <c r="J27" s="21">
        <f>Assumptions!$F$9/12*(J24*(1+J25)*(1+J26))^8</f>
        <v>601.80092048996539</v>
      </c>
      <c r="K27" s="21">
        <f>Assumptions!$F$9/12*(K24*(1+K25)*(1+K26))^9</f>
        <v>602.02641529487289</v>
      </c>
      <c r="L27" s="21">
        <f>Assumptions!$F$9/12*(L24*(1+L25)*(1+L26))^10</f>
        <v>602.25199459268379</v>
      </c>
      <c r="M27" s="21">
        <f>Assumptions!$F$9/12*(M24*(1+M25)*(1+M26))^11</f>
        <v>602.47765841505748</v>
      </c>
      <c r="N27" s="21">
        <f>Assumptions!$F$9/12*(N24*(1+N25)*(1+N26))^12</f>
        <v>602.70340679366564</v>
      </c>
    </row>
    <row r="28" spans="2:14" ht="13.5" customHeight="1" x14ac:dyDescent="0.2">
      <c r="B28" s="1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  <row r="29" spans="2:14" ht="13.5" customHeight="1" x14ac:dyDescent="0.2">
      <c r="B29" s="1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</row>
    <row r="30" spans="2:14" ht="13.5" customHeight="1" x14ac:dyDescent="0.2">
      <c r="B30" s="3" t="s">
        <v>196</v>
      </c>
      <c r="C30" s="18">
        <v>46388</v>
      </c>
      <c r="D30" s="18">
        <v>46419</v>
      </c>
      <c r="E30" s="18">
        <v>46447</v>
      </c>
      <c r="F30" s="18">
        <v>46478</v>
      </c>
      <c r="G30" s="18">
        <v>46508</v>
      </c>
      <c r="H30" s="18">
        <v>46539</v>
      </c>
      <c r="I30" s="18">
        <v>46569</v>
      </c>
      <c r="J30" s="18">
        <v>46600</v>
      </c>
      <c r="K30" s="18">
        <v>46631</v>
      </c>
      <c r="L30" s="18">
        <v>46661</v>
      </c>
      <c r="M30" s="18">
        <v>46692</v>
      </c>
      <c r="N30" s="18">
        <v>46722</v>
      </c>
    </row>
    <row r="31" spans="2:14" ht="13.5" customHeight="1" x14ac:dyDescent="0.2">
      <c r="B31" s="30">
        <v>46388</v>
      </c>
      <c r="C31" s="31">
        <f>IF(0&lt;$C$14,0,C$11/12*($C$24*(1+$C$25)*(1+$C$26))^MAX(0,0-$C$14))</f>
        <v>0</v>
      </c>
      <c r="D31" s="31">
        <f>IF(1&lt;$C$14,0,C$11/12*($C$24*(1+$C$25)*(1+$C$26))^MAX(0,1-$C$14))</f>
        <v>37.592500000000001</v>
      </c>
      <c r="E31" s="31">
        <f>IF(2&lt;$C$14,0,C$11/12*($C$24*(1+$C$25)*(1+$C$26))^MAX(0,2-$C$14))</f>
        <v>37.606585909749995</v>
      </c>
      <c r="F31" s="31">
        <f>IF(3&lt;$C$14,0,C$11/12*($C$24*(1+$C$25)*(1+$C$26))^MAX(0,3-$C$14))</f>
        <v>37.620677097490372</v>
      </c>
      <c r="G31" s="31">
        <f>IF(4&lt;$C$14,0,C$11/12*($C$24*(1+$C$25)*(1+$C$26))^MAX(0,4-$C$14))</f>
        <v>37.634773565198799</v>
      </c>
      <c r="H31" s="31">
        <f>IF(5&lt;$C$14,0,C$11/12*($C$24*(1+$C$25)*(1+$C$26))^MAX(0,5-$C$14))</f>
        <v>37.648875314853669</v>
      </c>
      <c r="I31" s="31">
        <f>IF(6&lt;$C$14,0,C$11/12*($C$24*(1+$C$25)*(1+$C$26))^MAX(0,6-$C$14))</f>
        <v>37.662982348434141</v>
      </c>
      <c r="J31" s="31">
        <f>IF(7&lt;$C$14,0,C$11/12*($C$24*(1+$C$25)*(1+$C$26))^MAX(0,7-$C$14))</f>
        <v>37.677094667920095</v>
      </c>
      <c r="K31" s="31">
        <f>IF(8&lt;$C$14,0,C$11/12*($C$24*(1+$C$25)*(1+$C$26))^MAX(0,8-$C$14))</f>
        <v>37.691212275292159</v>
      </c>
      <c r="L31" s="31">
        <f>IF(9&lt;$C$14,0,C$11/12*($C$24*(1+$C$25)*(1+$C$26))^MAX(0,9-$C$14))</f>
        <v>37.705335172531704</v>
      </c>
      <c r="M31" s="31">
        <f>IF(10&lt;$C$14,0,C$11/12*($C$24*(1+$C$25)*(1+$C$26))^MAX(0,10-$C$14))</f>
        <v>37.719463361620846</v>
      </c>
      <c r="N31" s="31">
        <f>IF(11&lt;$C$14,0,C$11/12*($C$24*(1+$C$25)*(1+$C$26))^MAX(0,11-$C$14))</f>
        <v>37.73359684454244</v>
      </c>
    </row>
    <row r="32" spans="2:14" ht="13.5" customHeight="1" x14ac:dyDescent="0.2">
      <c r="B32" s="30">
        <v>46419</v>
      </c>
      <c r="C32" s="31">
        <f>IF(-1&lt;$C$14,0,D$11/12*($C$24*(1+$C$25)*(1+$C$26))^MAX(0,-1-$C$14))</f>
        <v>0</v>
      </c>
      <c r="D32" s="31">
        <f>IF(0&lt;$C$14,0,D$11/12*($C$24*(1+$C$25)*(1+$C$26))^MAX(0,0-$C$14))</f>
        <v>0</v>
      </c>
      <c r="E32" s="31">
        <f>IF(1&lt;$C$14,0,D$11/12*($C$24*(1+$C$25)*(1+$C$26))^MAX(0,1-$C$14))</f>
        <v>39.651736666666672</v>
      </c>
      <c r="F32" s="31">
        <f>IF(2&lt;$C$14,0,D$11/12*($C$24*(1+$C$25)*(1+$C$26))^MAX(0,2-$C$14))</f>
        <v>39.666594172395662</v>
      </c>
      <c r="G32" s="31">
        <f>IF(3&lt;$C$14,0,D$11/12*($C$24*(1+$C$25)*(1+$C$26))^MAX(0,3-$C$14))</f>
        <v>39.681457245232053</v>
      </c>
      <c r="H32" s="31">
        <f>IF(4&lt;$C$14,0,D$11/12*($C$24*(1+$C$25)*(1+$C$26))^MAX(0,4-$C$14))</f>
        <v>39.696325887261835</v>
      </c>
      <c r="I32" s="31">
        <f>IF(5&lt;$C$14,0,D$11/12*($C$24*(1+$C$25)*(1+$C$26))^MAX(0,5-$C$14))</f>
        <v>39.711200100571787</v>
      </c>
      <c r="J32" s="31">
        <f>IF(6&lt;$C$14,0,D$11/12*($C$24*(1+$C$25)*(1+$C$26))^MAX(0,6-$C$14))</f>
        <v>39.726079887249469</v>
      </c>
      <c r="K32" s="31">
        <f>IF(7&lt;$C$14,0,D$11/12*($C$24*(1+$C$25)*(1+$C$26))^MAX(0,7-$C$14))</f>
        <v>39.740965249383216</v>
      </c>
      <c r="L32" s="31">
        <f>IF(8&lt;$C$14,0,D$11/12*($C$24*(1+$C$25)*(1+$C$26))^MAX(0,8-$C$14))</f>
        <v>39.755856189062158</v>
      </c>
      <c r="M32" s="31">
        <f>IF(9&lt;$C$14,0,D$11/12*($C$24*(1+$C$25)*(1+$C$26))^MAX(0,9-$C$14))</f>
        <v>39.770752708376193</v>
      </c>
      <c r="N32" s="31">
        <f>IF(10&lt;$C$14,0,D$11/12*($C$24*(1+$C$25)*(1+$C$26))^MAX(0,10-$C$14))</f>
        <v>39.785654809416009</v>
      </c>
    </row>
    <row r="33" spans="2:14" ht="13.5" customHeight="1" x14ac:dyDescent="0.2">
      <c r="B33" s="30">
        <v>46447</v>
      </c>
      <c r="C33" s="31">
        <f>IF(-2&lt;$C$14,0,E$11/12*($C$24*(1+$C$25)*(1+$C$26))^MAX(0,-2-$C$14))</f>
        <v>0</v>
      </c>
      <c r="D33" s="31">
        <f>IF(-1&lt;$C$14,0,E$11/12*($C$24*(1+$C$25)*(1+$C$26))^MAX(0,-1-$C$14))</f>
        <v>0</v>
      </c>
      <c r="E33" s="31">
        <f>IF(0&lt;$C$14,0,E$11/12*($C$24*(1+$C$25)*(1+$C$26))^MAX(0,0-$C$14))</f>
        <v>0</v>
      </c>
      <c r="F33" s="31">
        <f>IF(1&lt;$C$14,0,E$11/12*($C$24*(1+$C$25)*(1+$C$26))^MAX(0,1-$C$14))</f>
        <v>42.830742496666666</v>
      </c>
      <c r="G33" s="31">
        <f>IF(2&lt;$C$14,0,E$11/12*($C$24*(1+$C$25)*(1+$C$26))^MAX(0,2-$C$14))</f>
        <v>42.846791175880163</v>
      </c>
      <c r="H33" s="31">
        <f>IF(3&lt;$C$14,0,E$11/12*($C$24*(1+$C$25)*(1+$C$26))^MAX(0,3-$C$14))</f>
        <v>42.862845868533753</v>
      </c>
      <c r="I33" s="31">
        <f>IF(4&lt;$C$14,0,E$11/12*($C$24*(1+$C$25)*(1+$C$26))^MAX(0,4-$C$14))</f>
        <v>42.878906576880688</v>
      </c>
      <c r="J33" s="31">
        <f>IF(5&lt;$C$14,0,E$11/12*($C$24*(1+$C$25)*(1+$C$26))^MAX(0,5-$C$14))</f>
        <v>42.894973303175043</v>
      </c>
      <c r="K33" s="31">
        <f>IF(6&lt;$C$14,0,E$11/12*($C$24*(1+$C$25)*(1+$C$26))^MAX(0,6-$C$14))</f>
        <v>42.911046049671732</v>
      </c>
      <c r="L33" s="31">
        <f>IF(7&lt;$C$14,0,E$11/12*($C$24*(1+$C$25)*(1+$C$26))^MAX(0,7-$C$14))</f>
        <v>42.927124818626538</v>
      </c>
      <c r="M33" s="31">
        <f>IF(8&lt;$C$14,0,E$11/12*($C$24*(1+$C$25)*(1+$C$26))^MAX(0,8-$C$14))</f>
        <v>42.943209612296073</v>
      </c>
      <c r="N33" s="31">
        <f>IF(9&lt;$C$14,0,E$11/12*($C$24*(1+$C$25)*(1+$C$26))^MAX(0,9-$C$14))</f>
        <v>42.959300432937795</v>
      </c>
    </row>
    <row r="34" spans="2:14" ht="13.5" customHeight="1" x14ac:dyDescent="0.2">
      <c r="B34" s="30">
        <v>46478</v>
      </c>
      <c r="C34" s="31">
        <f>IF(-3&lt;$C$14,0,F$11/12*($C$24*(1+$C$25)*(1+$C$26))^MAX(0,-3-$C$14))</f>
        <v>0</v>
      </c>
      <c r="D34" s="31">
        <f>IF(-2&lt;$C$14,0,F$11/12*($C$24*(1+$C$25)*(1+$C$26))^MAX(0,-2-$C$14))</f>
        <v>0</v>
      </c>
      <c r="E34" s="31">
        <f>IF(-1&lt;$C$14,0,F$11/12*($C$24*(1+$C$25)*(1+$C$26))^MAX(0,-1-$C$14))</f>
        <v>0</v>
      </c>
      <c r="F34" s="31">
        <f>IF(0&lt;$C$14,0,F$11/12*($C$24*(1+$C$25)*(1+$C$26))^MAX(0,0-$C$14))</f>
        <v>0</v>
      </c>
      <c r="G34" s="31">
        <f>IF(1&lt;$C$14,0,F$11/12*($C$24*(1+$C$25)*(1+$C$26))^MAX(0,1-$C$14))</f>
        <v>47.116006127520002</v>
      </c>
      <c r="H34" s="31">
        <f>IF(2&lt;$C$14,0,F$11/12*($C$24*(1+$C$25)*(1+$C$26))^MAX(0,2-$C$14))</f>
        <v>47.133660495015974</v>
      </c>
      <c r="I34" s="31">
        <f>IF(3&lt;$C$14,0,F$11/12*($C$24*(1+$C$25)*(1+$C$26))^MAX(0,3-$C$14))</f>
        <v>47.151321477603453</v>
      </c>
      <c r="J34" s="31">
        <f>IF(4&lt;$C$14,0,F$11/12*($C$24*(1+$C$25)*(1+$C$26))^MAX(0,4-$C$14))</f>
        <v>47.168989077761104</v>
      </c>
      <c r="K34" s="31">
        <f>IF(5&lt;$C$14,0,F$11/12*($C$24*(1+$C$25)*(1+$C$26))^MAX(0,5-$C$14))</f>
        <v>47.186663297968536</v>
      </c>
      <c r="L34" s="31">
        <f>IF(6&lt;$C$14,0,F$11/12*($C$24*(1+$C$25)*(1+$C$26))^MAX(0,6-$C$14))</f>
        <v>47.204344140706276</v>
      </c>
      <c r="M34" s="31">
        <f>IF(7&lt;$C$14,0,F$11/12*($C$24*(1+$C$25)*(1+$C$26))^MAX(0,7-$C$14))</f>
        <v>47.222031608455794</v>
      </c>
      <c r="N34" s="31">
        <f>IF(8&lt;$C$14,0,F$11/12*($C$24*(1+$C$25)*(1+$C$26))^MAX(0,8-$C$14))</f>
        <v>47.239725703699477</v>
      </c>
    </row>
    <row r="35" spans="2:14" ht="13.5" customHeight="1" x14ac:dyDescent="0.2">
      <c r="B35" s="30">
        <v>46508</v>
      </c>
      <c r="C35" s="31">
        <f>IF(-4&lt;$C$14,0,G$11/12*($C$24*(1+$C$25)*(1+$C$26))^MAX(0,-4-$C$14))</f>
        <v>0</v>
      </c>
      <c r="D35" s="31">
        <f>IF(-3&lt;$C$14,0,G$11/12*($C$24*(1+$C$25)*(1+$C$26))^MAX(0,-3-$C$14))</f>
        <v>0</v>
      </c>
      <c r="E35" s="31">
        <f>IF(-2&lt;$C$14,0,G$11/12*($C$24*(1+$C$25)*(1+$C$26))^MAX(0,-2-$C$14))</f>
        <v>0</v>
      </c>
      <c r="F35" s="31">
        <f>IF(-1&lt;$C$14,0,G$11/12*($C$24*(1+$C$25)*(1+$C$26))^MAX(0,-1-$C$14))</f>
        <v>0</v>
      </c>
      <c r="G35" s="31">
        <f>IF(0&lt;$C$14,0,G$11/12*($C$24*(1+$C$25)*(1+$C$26))^MAX(0,0-$C$14))</f>
        <v>0</v>
      </c>
      <c r="H35" s="31">
        <f>IF(1&lt;$C$14,0,G$11/12*($C$24*(1+$C$25)*(1+$C$26))^MAX(0,1-$C$14))</f>
        <v>51.375558176588214</v>
      </c>
      <c r="I35" s="31">
        <f>IF(2&lt;$C$14,0,G$11/12*($C$24*(1+$C$25)*(1+$C$26))^MAX(0,2-$C$14))</f>
        <v>51.39480859823697</v>
      </c>
      <c r="J35" s="31">
        <f>IF(3&lt;$C$14,0,G$11/12*($C$24*(1+$C$25)*(1+$C$26))^MAX(0,3-$C$14))</f>
        <v>51.414066233018723</v>
      </c>
      <c r="K35" s="31">
        <f>IF(4&lt;$C$14,0,G$11/12*($C$24*(1+$C$25)*(1+$C$26))^MAX(0,4-$C$14))</f>
        <v>51.433331083636226</v>
      </c>
      <c r="L35" s="31">
        <f>IF(5&lt;$C$14,0,G$11/12*($C$24*(1+$C$25)*(1+$C$26))^MAX(0,5-$C$14))</f>
        <v>51.452603152793259</v>
      </c>
      <c r="M35" s="31">
        <f>IF(6&lt;$C$14,0,G$11/12*($C$24*(1+$C$25)*(1+$C$26))^MAX(0,6-$C$14))</f>
        <v>51.471882443194602</v>
      </c>
      <c r="N35" s="31">
        <f>IF(7&lt;$C$14,0,G$11/12*($C$24*(1+$C$25)*(1+$C$26))^MAX(0,7-$C$14))</f>
        <v>51.491168957546066</v>
      </c>
    </row>
    <row r="36" spans="2:14" ht="13.5" customHeight="1" x14ac:dyDescent="0.2">
      <c r="B36" s="30">
        <v>46539</v>
      </c>
      <c r="C36" s="31">
        <f>IF(-5&lt;$C$14,0,H$11/12*($C$24*(1+$C$25)*(1+$C$26))^MAX(0,-5-$C$14))</f>
        <v>0</v>
      </c>
      <c r="D36" s="31">
        <f>IF(-4&lt;$C$14,0,H$11/12*($C$24*(1+$C$25)*(1+$C$26))^MAX(0,-4-$C$14))</f>
        <v>0</v>
      </c>
      <c r="E36" s="31">
        <f>IF(-3&lt;$C$14,0,H$11/12*($C$24*(1+$C$25)*(1+$C$26))^MAX(0,-3-$C$14))</f>
        <v>0</v>
      </c>
      <c r="F36" s="31">
        <f>IF(-2&lt;$C$14,0,H$11/12*($C$24*(1+$C$25)*(1+$C$26))^MAX(0,-2-$C$14))</f>
        <v>0</v>
      </c>
      <c r="G36" s="31">
        <f>IF(-1&lt;$C$14,0,H$11/12*($C$24*(1+$C$25)*(1+$C$26))^MAX(0,-1-$C$14))</f>
        <v>0</v>
      </c>
      <c r="H36" s="31">
        <f>IF(0&lt;$C$14,0,H$11/12*($C$24*(1+$C$25)*(1+$C$26))^MAX(0,0-$C$14))</f>
        <v>0</v>
      </c>
      <c r="I36" s="31">
        <f>IF(1&lt;$C$14,0,H$11/12*($C$24*(1+$C$25)*(1+$C$26))^MAX(0,1-$C$14))</f>
        <v>55.60955291336203</v>
      </c>
      <c r="J36" s="31">
        <f>IF(2&lt;$C$14,0,H$11/12*($C$24*(1+$C$25)*(1+$C$26))^MAX(0,2-$C$14))</f>
        <v>55.630389812838658</v>
      </c>
      <c r="K36" s="31">
        <f>IF(3&lt;$C$14,0,H$11/12*($C$24*(1+$C$25)*(1+$C$26))^MAX(0,3-$C$14))</f>
        <v>55.651234519901521</v>
      </c>
      <c r="L36" s="31">
        <f>IF(4&lt;$C$14,0,H$11/12*($C$24*(1+$C$25)*(1+$C$26))^MAX(0,4-$C$14))</f>
        <v>55.672087037476118</v>
      </c>
      <c r="M36" s="31">
        <f>IF(5&lt;$C$14,0,H$11/12*($C$24*(1+$C$25)*(1+$C$26))^MAX(0,5-$C$14))</f>
        <v>55.692947368489051</v>
      </c>
      <c r="N36" s="31">
        <f>IF(6&lt;$C$14,0,H$11/12*($C$24*(1+$C$25)*(1+$C$26))^MAX(0,6-$C$14))</f>
        <v>55.713815515868021</v>
      </c>
    </row>
    <row r="37" spans="2:14" ht="13.5" customHeight="1" x14ac:dyDescent="0.2">
      <c r="B37" s="30">
        <v>46569</v>
      </c>
      <c r="C37" s="31">
        <f>IF(-6&lt;$C$14,0,I$11/12*($C$24*(1+$C$25)*(1+$C$26))^MAX(0,-6-$C$14))</f>
        <v>0</v>
      </c>
      <c r="D37" s="31">
        <f>IF(-5&lt;$C$14,0,I$11/12*($C$24*(1+$C$25)*(1+$C$26))^MAX(0,-5-$C$14))</f>
        <v>0</v>
      </c>
      <c r="E37" s="31">
        <f>IF(-4&lt;$C$14,0,I$11/12*($C$24*(1+$C$25)*(1+$C$26))^MAX(0,-4-$C$14))</f>
        <v>0</v>
      </c>
      <c r="F37" s="31">
        <f>IF(-3&lt;$C$14,0,I$11/12*($C$24*(1+$C$25)*(1+$C$26))^MAX(0,-3-$C$14))</f>
        <v>0</v>
      </c>
      <c r="G37" s="31">
        <f>IF(-2&lt;$C$14,0,I$11/12*($C$24*(1+$C$25)*(1+$C$26))^MAX(0,-2-$C$14))</f>
        <v>0</v>
      </c>
      <c r="H37" s="31">
        <f>IF(-1&lt;$C$14,0,I$11/12*($C$24*(1+$C$25)*(1+$C$26))^MAX(0,-1-$C$14))</f>
        <v>0</v>
      </c>
      <c r="I37" s="31">
        <f>IF(0&lt;$C$14,0,I$11/12*($C$24*(1+$C$25)*(1+$C$26))^MAX(0,0-$C$14))</f>
        <v>0</v>
      </c>
      <c r="J37" s="31">
        <f>IF(1&lt;$C$14,0,I$11/12*($C$24*(1+$C$25)*(1+$C$26))^MAX(0,1-$C$14))</f>
        <v>59.818143681715185</v>
      </c>
      <c r="K37" s="31">
        <f>IF(2&lt;$C$14,0,I$11/12*($C$24*(1+$C$25)*(1+$C$26))^MAX(0,2-$C$14))</f>
        <v>59.840557540152716</v>
      </c>
      <c r="L37" s="31">
        <f>IF(3&lt;$C$14,0,I$11/12*($C$24*(1+$C$25)*(1+$C$26))^MAX(0,3-$C$14))</f>
        <v>59.862979797062998</v>
      </c>
      <c r="M37" s="31">
        <f>IF(4&lt;$C$14,0,I$11/12*($C$24*(1+$C$25)*(1+$C$26))^MAX(0,4-$C$14))</f>
        <v>59.885410455592947</v>
      </c>
      <c r="N37" s="31">
        <f>IF(5&lt;$C$14,0,I$11/12*($C$24*(1+$C$25)*(1+$C$26))^MAX(0,5-$C$14))</f>
        <v>59.907849518890657</v>
      </c>
    </row>
    <row r="38" spans="2:14" ht="13.5" customHeight="1" x14ac:dyDescent="0.2">
      <c r="B38" s="30">
        <v>46600</v>
      </c>
      <c r="C38" s="31">
        <f>IF(-7&lt;$C$14,0,J$11/12*($C$24*(1+$C$25)*(1+$C$26))^MAX(0,-7-$C$14))</f>
        <v>0</v>
      </c>
      <c r="D38" s="31">
        <f>IF(-6&lt;$C$14,0,J$11/12*($C$24*(1+$C$25)*(1+$C$26))^MAX(0,-6-$C$14))</f>
        <v>0</v>
      </c>
      <c r="E38" s="31">
        <f>IF(-5&lt;$C$14,0,J$11/12*($C$24*(1+$C$25)*(1+$C$26))^MAX(0,-5-$C$14))</f>
        <v>0</v>
      </c>
      <c r="F38" s="31">
        <f>IF(-4&lt;$C$14,0,J$11/12*($C$24*(1+$C$25)*(1+$C$26))^MAX(0,-4-$C$14))</f>
        <v>0</v>
      </c>
      <c r="G38" s="31">
        <f>IF(-3&lt;$C$14,0,J$11/12*($C$24*(1+$C$25)*(1+$C$26))^MAX(0,-3-$C$14))</f>
        <v>0</v>
      </c>
      <c r="H38" s="31">
        <f>IF(-2&lt;$C$14,0,J$11/12*($C$24*(1+$C$25)*(1+$C$26))^MAX(0,-2-$C$14))</f>
        <v>0</v>
      </c>
      <c r="I38" s="31">
        <f>IF(-1&lt;$C$14,0,J$11/12*($C$24*(1+$C$25)*(1+$C$26))^MAX(0,-1-$C$14))</f>
        <v>0</v>
      </c>
      <c r="J38" s="31">
        <f>IF(0&lt;$C$14,0,J$11/12*($C$24*(1+$C$25)*(1+$C$26))^MAX(0,0-$C$14))</f>
        <v>0</v>
      </c>
      <c r="K38" s="31">
        <f>IF(1&lt;$C$14,0,J$11/12*($C$24*(1+$C$25)*(1+$C$26))^MAX(0,1-$C$14))</f>
        <v>64.001482905458232</v>
      </c>
      <c r="L38" s="31">
        <f>IF(2&lt;$C$14,0,J$11/12*($C$24*(1+$C$25)*(1+$C$26))^MAX(0,2-$C$14))</f>
        <v>64.025464261102897</v>
      </c>
      <c r="M38" s="31">
        <f>IF(3&lt;$C$14,0,J$11/12*($C$24*(1+$C$25)*(1+$C$26))^MAX(0,3-$C$14))</f>
        <v>64.049454602561525</v>
      </c>
      <c r="N38" s="31">
        <f>IF(4&lt;$C$14,0,J$11/12*($C$24*(1+$C$25)*(1+$C$26))^MAX(0,4-$C$14))</f>
        <v>64.073453933201094</v>
      </c>
    </row>
    <row r="39" spans="2:14" ht="13.5" customHeight="1" x14ac:dyDescent="0.2">
      <c r="B39" s="30">
        <v>46631</v>
      </c>
      <c r="C39" s="31">
        <f>IF(-8&lt;$C$14,0,K$11/12*($C$24*(1+$C$25)*(1+$C$26))^MAX(0,-8-$C$14))</f>
        <v>0</v>
      </c>
      <c r="D39" s="31">
        <f>IF(-7&lt;$C$14,0,K$11/12*($C$24*(1+$C$25)*(1+$C$26))^MAX(0,-7-$C$14))</f>
        <v>0</v>
      </c>
      <c r="E39" s="31">
        <f>IF(-6&lt;$C$14,0,K$11/12*($C$24*(1+$C$25)*(1+$C$26))^MAX(0,-6-$C$14))</f>
        <v>0</v>
      </c>
      <c r="F39" s="31">
        <f>IF(-5&lt;$C$14,0,K$11/12*($C$24*(1+$C$25)*(1+$C$26))^MAX(0,-5-$C$14))</f>
        <v>0</v>
      </c>
      <c r="G39" s="31">
        <f>IF(-4&lt;$C$14,0,K$11/12*($C$24*(1+$C$25)*(1+$C$26))^MAX(0,-4-$C$14))</f>
        <v>0</v>
      </c>
      <c r="H39" s="31">
        <f>IF(-3&lt;$C$14,0,K$11/12*($C$24*(1+$C$25)*(1+$C$26))^MAX(0,-3-$C$14))</f>
        <v>0</v>
      </c>
      <c r="I39" s="31">
        <f>IF(-2&lt;$C$14,0,K$11/12*($C$24*(1+$C$25)*(1+$C$26))^MAX(0,-2-$C$14))</f>
        <v>0</v>
      </c>
      <c r="J39" s="31">
        <f>IF(-1&lt;$C$14,0,K$11/12*($C$24*(1+$C$25)*(1+$C$26))^MAX(0,-1-$C$14))</f>
        <v>0</v>
      </c>
      <c r="K39" s="31">
        <f>IF(0&lt;$C$14,0,K$11/12*($C$24*(1+$C$25)*(1+$C$26))^MAX(0,0-$C$14))</f>
        <v>0</v>
      </c>
      <c r="L39" s="31">
        <f>IF(1&lt;$C$14,0,K$11/12*($C$24*(1+$C$25)*(1+$C$26))^MAX(0,1-$C$14))</f>
        <v>68.159722093858818</v>
      </c>
      <c r="M39" s="31">
        <f>IF(2&lt;$C$14,0,K$11/12*($C$24*(1+$C$25)*(1+$C$26))^MAX(0,2-$C$14))</f>
        <v>68.185261541727371</v>
      </c>
      <c r="N39" s="31">
        <f>IF(3&lt;$C$14,0,K$11/12*($C$24*(1+$C$25)*(1+$C$26))^MAX(0,3-$C$14))</f>
        <v>68.210810559227056</v>
      </c>
    </row>
    <row r="40" spans="2:14" ht="13.5" customHeight="1" x14ac:dyDescent="0.2">
      <c r="B40" s="30">
        <v>46661</v>
      </c>
      <c r="C40" s="31">
        <f>IF(-9&lt;$C$14,0,L$11/12*($C$24*(1+$C$25)*(1+$C$26))^MAX(0,-9-$C$14))</f>
        <v>0</v>
      </c>
      <c r="D40" s="31">
        <f>IF(-8&lt;$C$14,0,L$11/12*($C$24*(1+$C$25)*(1+$C$26))^MAX(0,-8-$C$14))</f>
        <v>0</v>
      </c>
      <c r="E40" s="31">
        <f>IF(-7&lt;$C$14,0,L$11/12*($C$24*(1+$C$25)*(1+$C$26))^MAX(0,-7-$C$14))</f>
        <v>0</v>
      </c>
      <c r="F40" s="31">
        <f>IF(-6&lt;$C$14,0,L$11/12*($C$24*(1+$C$25)*(1+$C$26))^MAX(0,-6-$C$14))</f>
        <v>0</v>
      </c>
      <c r="G40" s="31">
        <f>IF(-5&lt;$C$14,0,L$11/12*($C$24*(1+$C$25)*(1+$C$26))^MAX(0,-5-$C$14))</f>
        <v>0</v>
      </c>
      <c r="H40" s="31">
        <f>IF(-4&lt;$C$14,0,L$11/12*($C$24*(1+$C$25)*(1+$C$26))^MAX(0,-4-$C$14))</f>
        <v>0</v>
      </c>
      <c r="I40" s="31">
        <f>IF(-3&lt;$C$14,0,L$11/12*($C$24*(1+$C$25)*(1+$C$26))^MAX(0,-3-$C$14))</f>
        <v>0</v>
      </c>
      <c r="J40" s="31">
        <f>IF(-2&lt;$C$14,0,L$11/12*($C$24*(1+$C$25)*(1+$C$26))^MAX(0,-2-$C$14))</f>
        <v>0</v>
      </c>
      <c r="K40" s="31">
        <f>IF(-1&lt;$C$14,0,L$11/12*($C$24*(1+$C$25)*(1+$C$26))^MAX(0,-1-$C$14))</f>
        <v>0</v>
      </c>
      <c r="L40" s="31">
        <f>IF(0&lt;$C$14,0,L$11/12*($C$24*(1+$C$25)*(1+$C$26))^MAX(0,0-$C$14))</f>
        <v>0</v>
      </c>
      <c r="M40" s="31">
        <f>IF(1&lt;$C$14,0,L$11/12*($C$24*(1+$C$25)*(1+$C$26))^MAX(0,1-$C$14))</f>
        <v>72.293011847128994</v>
      </c>
      <c r="N40" s="31">
        <f>IF(2&lt;$C$14,0,L$11/12*($C$24*(1+$C$25)*(1+$C$26))^MAX(0,2-$C$14))</f>
        <v>72.320100038668102</v>
      </c>
    </row>
    <row r="41" spans="2:14" ht="13.5" customHeight="1" x14ac:dyDescent="0.2">
      <c r="B41" s="30">
        <v>46692</v>
      </c>
      <c r="C41" s="31">
        <f>IF(-10&lt;$C$14,0,M$11/12*($C$24*(1+$C$25)*(1+$C$26))^MAX(0,-10-$C$14))</f>
        <v>0</v>
      </c>
      <c r="D41" s="31">
        <f>IF(-9&lt;$C$14,0,M$11/12*($C$24*(1+$C$25)*(1+$C$26))^MAX(0,-9-$C$14))</f>
        <v>0</v>
      </c>
      <c r="E41" s="31">
        <f>IF(-8&lt;$C$14,0,M$11/12*($C$24*(1+$C$25)*(1+$C$26))^MAX(0,-8-$C$14))</f>
        <v>0</v>
      </c>
      <c r="F41" s="31">
        <f>IF(-7&lt;$C$14,0,M$11/12*($C$24*(1+$C$25)*(1+$C$26))^MAX(0,-7-$C$14))</f>
        <v>0</v>
      </c>
      <c r="G41" s="31">
        <f>IF(-6&lt;$C$14,0,M$11/12*($C$24*(1+$C$25)*(1+$C$26))^MAX(0,-6-$C$14))</f>
        <v>0</v>
      </c>
      <c r="H41" s="31">
        <f>IF(-5&lt;$C$14,0,M$11/12*($C$24*(1+$C$25)*(1+$C$26))^MAX(0,-5-$C$14))</f>
        <v>0</v>
      </c>
      <c r="I41" s="31">
        <f>IF(-4&lt;$C$14,0,M$11/12*($C$24*(1+$C$25)*(1+$C$26))^MAX(0,-4-$C$14))</f>
        <v>0</v>
      </c>
      <c r="J41" s="31">
        <f>IF(-3&lt;$C$14,0,M$11/12*($C$24*(1+$C$25)*(1+$C$26))^MAX(0,-3-$C$14))</f>
        <v>0</v>
      </c>
      <c r="K41" s="31">
        <f>IF(-2&lt;$C$14,0,M$11/12*($C$24*(1+$C$25)*(1+$C$26))^MAX(0,-2-$C$14))</f>
        <v>0</v>
      </c>
      <c r="L41" s="31">
        <f>IF(-1&lt;$C$14,0,M$11/12*($C$24*(1+$C$25)*(1+$C$26))^MAX(0,-1-$C$14))</f>
        <v>0</v>
      </c>
      <c r="M41" s="31">
        <f>IF(0&lt;$C$14,0,M$11/12*($C$24*(1+$C$25)*(1+$C$26))^MAX(0,0-$C$14))</f>
        <v>0</v>
      </c>
      <c r="N41" s="31">
        <f>IF(1&lt;$C$14,0,M$11/12*($C$24*(1+$C$25)*(1+$C$26))^MAX(0,1-$C$14))</f>
        <v>76.401501861879566</v>
      </c>
    </row>
    <row r="42" spans="2:14" ht="13.5" customHeight="1" x14ac:dyDescent="0.2">
      <c r="B42" s="30">
        <v>46722</v>
      </c>
      <c r="C42" s="31">
        <f>IF(-11&lt;$C$14,0,N$11/12*($C$24*(1+$C$25)*(1+$C$26))^MAX(0,-11-$C$14))</f>
        <v>0</v>
      </c>
      <c r="D42" s="31">
        <f>IF(-10&lt;$C$14,0,N$11/12*($C$24*(1+$C$25)*(1+$C$26))^MAX(0,-10-$C$14))</f>
        <v>0</v>
      </c>
      <c r="E42" s="31">
        <f>IF(-9&lt;$C$14,0,N$11/12*($C$24*(1+$C$25)*(1+$C$26))^MAX(0,-9-$C$14))</f>
        <v>0</v>
      </c>
      <c r="F42" s="31">
        <f>IF(-8&lt;$C$14,0,N$11/12*($C$24*(1+$C$25)*(1+$C$26))^MAX(0,-8-$C$14))</f>
        <v>0</v>
      </c>
      <c r="G42" s="31">
        <f>IF(-7&lt;$C$14,0,N$11/12*($C$24*(1+$C$25)*(1+$C$26))^MAX(0,-7-$C$14))</f>
        <v>0</v>
      </c>
      <c r="H42" s="31">
        <f>IF(-6&lt;$C$14,0,N$11/12*($C$24*(1+$C$25)*(1+$C$26))^MAX(0,-6-$C$14))</f>
        <v>0</v>
      </c>
      <c r="I42" s="31">
        <f>IF(-5&lt;$C$14,0,N$11/12*($C$24*(1+$C$25)*(1+$C$26))^MAX(0,-5-$C$14))</f>
        <v>0</v>
      </c>
      <c r="J42" s="31">
        <f>IF(-4&lt;$C$14,0,N$11/12*($C$24*(1+$C$25)*(1+$C$26))^MAX(0,-4-$C$14))</f>
        <v>0</v>
      </c>
      <c r="K42" s="31">
        <f>IF(-3&lt;$C$14,0,N$11/12*($C$24*(1+$C$25)*(1+$C$26))^MAX(0,-3-$C$14))</f>
        <v>0</v>
      </c>
      <c r="L42" s="31">
        <f>IF(-2&lt;$C$14,0,N$11/12*($C$24*(1+$C$25)*(1+$C$26))^MAX(0,-2-$C$14))</f>
        <v>0</v>
      </c>
      <c r="M42" s="31">
        <f>IF(-1&lt;$C$14,0,N$11/12*($C$24*(1+$C$25)*(1+$C$26))^MAX(0,-1-$C$14))</f>
        <v>0</v>
      </c>
      <c r="N42" s="31">
        <f>IF(0&lt;$C$14,0,N$11/12*($C$24*(1+$C$25)*(1+$C$26))^MAX(0,0-$C$14))</f>
        <v>0</v>
      </c>
    </row>
    <row r="43" spans="2:14" ht="13.5" customHeight="1" x14ac:dyDescent="0.2">
      <c r="B43" s="19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</row>
    <row r="44" spans="2:14" ht="13.5" customHeight="1" x14ac:dyDescent="0.2">
      <c r="B44" s="19" t="s">
        <v>197</v>
      </c>
      <c r="C44" s="31">
        <f t="shared" ref="C44:N44" si="6">SUM(C31:C42)</f>
        <v>0</v>
      </c>
      <c r="D44" s="31">
        <f t="shared" si="6"/>
        <v>37.592500000000001</v>
      </c>
      <c r="E44" s="31">
        <f t="shared" si="6"/>
        <v>77.258322576416674</v>
      </c>
      <c r="F44" s="31">
        <f t="shared" si="6"/>
        <v>120.11801376655271</v>
      </c>
      <c r="G44" s="31">
        <f t="shared" si="6"/>
        <v>167.279028113831</v>
      </c>
      <c r="H44" s="31">
        <f t="shared" si="6"/>
        <v>218.71726574225343</v>
      </c>
      <c r="I44" s="31">
        <f t="shared" si="6"/>
        <v>274.40877201508908</v>
      </c>
      <c r="J44" s="31">
        <f t="shared" si="6"/>
        <v>334.32973666367826</v>
      </c>
      <c r="K44" s="31">
        <f t="shared" si="6"/>
        <v>398.45649292146436</v>
      </c>
      <c r="L44" s="31">
        <f t="shared" si="6"/>
        <v>466.76551666322081</v>
      </c>
      <c r="M44" s="31">
        <f t="shared" si="6"/>
        <v>539.23342554944338</v>
      </c>
      <c r="N44" s="31">
        <f t="shared" si="6"/>
        <v>615.83697817587631</v>
      </c>
    </row>
    <row r="45" spans="2:14" ht="13.5" customHeight="1" x14ac:dyDescent="0.2">
      <c r="B45" s="19" t="s">
        <v>198</v>
      </c>
      <c r="C45" s="31">
        <f t="shared" ref="C45:N45" si="7">C27+C44</f>
        <v>600.22481999999991</v>
      </c>
      <c r="D45" s="31">
        <f t="shared" si="7"/>
        <v>638.04222424005377</v>
      </c>
      <c r="E45" s="31">
        <f t="shared" si="7"/>
        <v>677.93303532814321</v>
      </c>
      <c r="F45" s="31">
        <f t="shared" si="7"/>
        <v>721.0177993331472</v>
      </c>
      <c r="G45" s="31">
        <f t="shared" si="7"/>
        <v>768.40397083007724</v>
      </c>
      <c r="H45" s="31">
        <f t="shared" si="7"/>
        <v>820.06744997453529</v>
      </c>
      <c r="I45" s="31">
        <f t="shared" si="7"/>
        <v>875.98428216140269</v>
      </c>
      <c r="J45" s="31">
        <f t="shared" si="7"/>
        <v>936.1306571536436</v>
      </c>
      <c r="K45" s="31">
        <f t="shared" si="7"/>
        <v>1000.4829082163373</v>
      </c>
      <c r="L45" s="31">
        <f t="shared" si="7"/>
        <v>1069.0175112559045</v>
      </c>
      <c r="M45" s="31">
        <f t="shared" si="7"/>
        <v>1141.7110839645009</v>
      </c>
      <c r="N45" s="31">
        <f t="shared" si="7"/>
        <v>1218.5403849695419</v>
      </c>
    </row>
    <row r="46" spans="2:14" ht="13.5" customHeight="1" x14ac:dyDescent="0.2">
      <c r="B46" s="19" t="s">
        <v>108</v>
      </c>
      <c r="C46" s="21">
        <f>Assumptions!$F$19</f>
        <v>4</v>
      </c>
      <c r="D46" s="21">
        <f>Assumptions!$F$19</f>
        <v>4</v>
      </c>
      <c r="E46" s="21">
        <f>Assumptions!$F$19</f>
        <v>4</v>
      </c>
      <c r="F46" s="21">
        <f>Assumptions!$F$19</f>
        <v>4</v>
      </c>
      <c r="G46" s="21">
        <f>Assumptions!$F$19</f>
        <v>4</v>
      </c>
      <c r="H46" s="21">
        <f>Assumptions!$F$19</f>
        <v>4</v>
      </c>
      <c r="I46" s="21">
        <f>Assumptions!$F$19</f>
        <v>4</v>
      </c>
      <c r="J46" s="21">
        <f>Assumptions!$F$19</f>
        <v>4</v>
      </c>
      <c r="K46" s="21">
        <f>Assumptions!$F$19</f>
        <v>4</v>
      </c>
      <c r="L46" s="21">
        <f>Assumptions!$F$19</f>
        <v>4</v>
      </c>
      <c r="M46" s="21">
        <f>Assumptions!$F$19</f>
        <v>4</v>
      </c>
      <c r="N46" s="21">
        <f>Assumptions!$F$19</f>
        <v>4</v>
      </c>
    </row>
    <row r="47" spans="2:14" ht="13.5" customHeight="1" x14ac:dyDescent="0.2">
      <c r="B47" s="19" t="s">
        <v>199</v>
      </c>
      <c r="C47" s="31">
        <f t="shared" ref="C47:N47" si="8">C13*C46</f>
        <v>27.34</v>
      </c>
      <c r="D47" s="31">
        <f t="shared" si="8"/>
        <v>28.837626666666669</v>
      </c>
      <c r="E47" s="31">
        <f t="shared" si="8"/>
        <v>31.149630906666669</v>
      </c>
      <c r="F47" s="31">
        <f t="shared" si="8"/>
        <v>34.266186274560006</v>
      </c>
      <c r="G47" s="31">
        <f t="shared" si="8"/>
        <v>37.364042310245971</v>
      </c>
      <c r="H47" s="31">
        <f t="shared" si="8"/>
        <v>40.443311209717841</v>
      </c>
      <c r="I47" s="31">
        <f t="shared" si="8"/>
        <v>43.504104495792859</v>
      </c>
      <c r="J47" s="31">
        <f t="shared" si="8"/>
        <v>46.546533022151444</v>
      </c>
      <c r="K47" s="31">
        <f t="shared" si="8"/>
        <v>49.570706977351868</v>
      </c>
      <c r="L47" s="31">
        <f t="shared" si="8"/>
        <v>52.576735888821091</v>
      </c>
      <c r="M47" s="31">
        <f t="shared" si="8"/>
        <v>55.564728626821505</v>
      </c>
      <c r="N47" s="31">
        <f t="shared" si="8"/>
        <v>58.534793408393902</v>
      </c>
    </row>
    <row r="48" spans="2:14" ht="13.5" customHeight="1" x14ac:dyDescent="0.2">
      <c r="B48" s="22" t="s">
        <v>200</v>
      </c>
      <c r="C48" s="23">
        <f t="shared" ref="C48:N48" si="9">C45+C47</f>
        <v>627.56481999999994</v>
      </c>
      <c r="D48" s="23">
        <f t="shared" si="9"/>
        <v>666.87985090672043</v>
      </c>
      <c r="E48" s="23">
        <f t="shared" si="9"/>
        <v>709.08266623480984</v>
      </c>
      <c r="F48" s="23">
        <f t="shared" si="9"/>
        <v>755.28398560770722</v>
      </c>
      <c r="G48" s="23">
        <f t="shared" si="9"/>
        <v>805.76801314032321</v>
      </c>
      <c r="H48" s="23">
        <f t="shared" si="9"/>
        <v>860.51076118425317</v>
      </c>
      <c r="I48" s="23">
        <f t="shared" si="9"/>
        <v>919.48838665719552</v>
      </c>
      <c r="J48" s="23">
        <f t="shared" si="9"/>
        <v>982.67719017579509</v>
      </c>
      <c r="K48" s="23">
        <f t="shared" si="9"/>
        <v>1050.0536151936892</v>
      </c>
      <c r="L48" s="23">
        <f t="shared" si="9"/>
        <v>1121.5942471447256</v>
      </c>
      <c r="M48" s="23">
        <f t="shared" si="9"/>
        <v>1197.2758125913224</v>
      </c>
      <c r="N48" s="23">
        <f t="shared" si="9"/>
        <v>1277.0751783779358</v>
      </c>
    </row>
    <row r="49" spans="2:14" ht="13.5" customHeight="1" x14ac:dyDescent="0.2">
      <c r="B49" s="19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</row>
    <row r="50" spans="2:14" ht="13.5" customHeight="1" x14ac:dyDescent="0.2">
      <c r="B50" s="19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</row>
    <row r="51" spans="2:14" ht="13.5" customHeight="1" x14ac:dyDescent="0.2">
      <c r="B51" s="66" t="s">
        <v>201</v>
      </c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8"/>
    </row>
    <row r="52" spans="2:14" ht="13.5" customHeight="1" x14ac:dyDescent="0.2">
      <c r="B52" s="19" t="s">
        <v>202</v>
      </c>
      <c r="C52" s="31">
        <f t="shared" ref="C52:N52" si="10">C27</f>
        <v>600.22481999999991</v>
      </c>
      <c r="D52" s="31">
        <f t="shared" si="10"/>
        <v>600.4497242400538</v>
      </c>
      <c r="E52" s="31">
        <f t="shared" si="10"/>
        <v>600.67471275172647</v>
      </c>
      <c r="F52" s="31">
        <f t="shared" si="10"/>
        <v>600.89978556659446</v>
      </c>
      <c r="G52" s="31">
        <f t="shared" si="10"/>
        <v>601.12494271624621</v>
      </c>
      <c r="H52" s="31">
        <f t="shared" si="10"/>
        <v>601.35018423228189</v>
      </c>
      <c r="I52" s="31">
        <f t="shared" si="10"/>
        <v>601.5755101463136</v>
      </c>
      <c r="J52" s="31">
        <f t="shared" si="10"/>
        <v>601.80092048996539</v>
      </c>
      <c r="K52" s="31">
        <f t="shared" si="10"/>
        <v>602.02641529487289</v>
      </c>
      <c r="L52" s="31">
        <f t="shared" si="10"/>
        <v>602.25199459268379</v>
      </c>
      <c r="M52" s="31">
        <f t="shared" si="10"/>
        <v>602.47765841505748</v>
      </c>
      <c r="N52" s="31">
        <f t="shared" si="10"/>
        <v>602.70340679366564</v>
      </c>
    </row>
    <row r="53" spans="2:14" ht="13.5" customHeight="1" x14ac:dyDescent="0.2">
      <c r="B53" s="19" t="s">
        <v>203</v>
      </c>
      <c r="C53" s="31">
        <f t="shared" ref="C53:N53" si="11">C11</f>
        <v>451.11</v>
      </c>
      <c r="D53" s="31">
        <f t="shared" si="11"/>
        <v>475.82084000000003</v>
      </c>
      <c r="E53" s="31">
        <f t="shared" si="11"/>
        <v>513.96890996000002</v>
      </c>
      <c r="F53" s="31">
        <f t="shared" si="11"/>
        <v>565.39207353024005</v>
      </c>
      <c r="G53" s="31">
        <f t="shared" si="11"/>
        <v>616.50669811905857</v>
      </c>
      <c r="H53" s="31">
        <f t="shared" si="11"/>
        <v>667.31463496034439</v>
      </c>
      <c r="I53" s="31">
        <f t="shared" si="11"/>
        <v>717.81772418058222</v>
      </c>
      <c r="J53" s="31">
        <f t="shared" si="11"/>
        <v>768.01779486549879</v>
      </c>
      <c r="K53" s="31">
        <f t="shared" si="11"/>
        <v>817.91666512630582</v>
      </c>
      <c r="L53" s="31">
        <f t="shared" si="11"/>
        <v>867.51614216554799</v>
      </c>
      <c r="M53" s="31">
        <f t="shared" si="11"/>
        <v>916.81802234255485</v>
      </c>
      <c r="N53" s="31">
        <f t="shared" si="11"/>
        <v>965.82409123849936</v>
      </c>
    </row>
    <row r="54" spans="2:14" ht="13.5" customHeight="1" x14ac:dyDescent="0.2">
      <c r="B54" s="19" t="s">
        <v>204</v>
      </c>
      <c r="C54" s="31">
        <f t="shared" ref="C54:N54" si="12">C47</f>
        <v>27.34</v>
      </c>
      <c r="D54" s="31">
        <f t="shared" si="12"/>
        <v>28.837626666666669</v>
      </c>
      <c r="E54" s="31">
        <f t="shared" si="12"/>
        <v>31.149630906666669</v>
      </c>
      <c r="F54" s="31">
        <f t="shared" si="12"/>
        <v>34.266186274560006</v>
      </c>
      <c r="G54" s="31">
        <f t="shared" si="12"/>
        <v>37.364042310245971</v>
      </c>
      <c r="H54" s="31">
        <f t="shared" si="12"/>
        <v>40.443311209717841</v>
      </c>
      <c r="I54" s="31">
        <f t="shared" si="12"/>
        <v>43.504104495792859</v>
      </c>
      <c r="J54" s="31">
        <f t="shared" si="12"/>
        <v>46.546533022151444</v>
      </c>
      <c r="K54" s="31">
        <f t="shared" si="12"/>
        <v>49.570706977351868</v>
      </c>
      <c r="L54" s="31">
        <f t="shared" si="12"/>
        <v>52.576735888821091</v>
      </c>
      <c r="M54" s="31">
        <f t="shared" si="12"/>
        <v>55.564728626821505</v>
      </c>
      <c r="N54" s="31">
        <f t="shared" si="12"/>
        <v>58.534793408393902</v>
      </c>
    </row>
    <row r="55" spans="2:14" ht="13.5" customHeight="1" x14ac:dyDescent="0.2">
      <c r="B55" s="22" t="s">
        <v>205</v>
      </c>
      <c r="C55" s="23">
        <f t="shared" ref="C55:N55" si="13">SUM(C52:C54)</f>
        <v>1078.67482</v>
      </c>
      <c r="D55" s="23">
        <f t="shared" si="13"/>
        <v>1105.1081909067204</v>
      </c>
      <c r="E55" s="23">
        <f t="shared" si="13"/>
        <v>1145.7932536183932</v>
      </c>
      <c r="F55" s="23">
        <f t="shared" si="13"/>
        <v>1200.5580453713944</v>
      </c>
      <c r="G55" s="23">
        <f t="shared" si="13"/>
        <v>1254.9956831455509</v>
      </c>
      <c r="H55" s="23">
        <f t="shared" si="13"/>
        <v>1309.1081304023442</v>
      </c>
      <c r="I55" s="23">
        <f t="shared" si="13"/>
        <v>1362.8973388226887</v>
      </c>
      <c r="J55" s="23">
        <f t="shared" si="13"/>
        <v>1416.3652483776154</v>
      </c>
      <c r="K55" s="23">
        <f t="shared" si="13"/>
        <v>1469.5137873985307</v>
      </c>
      <c r="L55" s="23">
        <f t="shared" si="13"/>
        <v>1522.3448726470529</v>
      </c>
      <c r="M55" s="23">
        <f t="shared" si="13"/>
        <v>1574.860409384434</v>
      </c>
      <c r="N55" s="23">
        <f t="shared" si="13"/>
        <v>1627.062291440559</v>
      </c>
    </row>
    <row r="56" spans="2:14" ht="13.5" customHeight="1" x14ac:dyDescent="0.2">
      <c r="B56" s="19" t="s">
        <v>206</v>
      </c>
      <c r="C56" s="21">
        <f>Assumptions!$F$58</f>
        <v>600</v>
      </c>
      <c r="D56" s="31">
        <f t="shared" ref="D56:N56" si="14">C59</f>
        <v>1051.1100000000001</v>
      </c>
      <c r="E56" s="31">
        <f t="shared" si="14"/>
        <v>1489.3383399999998</v>
      </c>
      <c r="F56" s="31">
        <f t="shared" si="14"/>
        <v>1926.0489273835828</v>
      </c>
      <c r="G56" s="31">
        <f t="shared" si="14"/>
        <v>2371.3229871472704</v>
      </c>
      <c r="H56" s="31">
        <f t="shared" si="14"/>
        <v>2820.5506571524984</v>
      </c>
      <c r="I56" s="31">
        <f t="shared" si="14"/>
        <v>3269.1480263705898</v>
      </c>
      <c r="J56" s="31">
        <f t="shared" si="14"/>
        <v>3712.5569785360831</v>
      </c>
      <c r="K56" s="31">
        <f t="shared" si="14"/>
        <v>4146.2450367379042</v>
      </c>
      <c r="L56" s="31">
        <f t="shared" si="14"/>
        <v>4565.7052089427452</v>
      </c>
      <c r="M56" s="31">
        <f t="shared" si="14"/>
        <v>4966.4558344450725</v>
      </c>
      <c r="N56" s="31">
        <f t="shared" si="14"/>
        <v>5344.0404312381843</v>
      </c>
    </row>
    <row r="57" spans="2:14" ht="13.5" customHeight="1" x14ac:dyDescent="0.2">
      <c r="B57" s="19" t="s">
        <v>207</v>
      </c>
      <c r="C57" s="31">
        <f t="shared" ref="C57:N57" si="15">C55</f>
        <v>1078.67482</v>
      </c>
      <c r="D57" s="31">
        <f t="shared" si="15"/>
        <v>1105.1081909067204</v>
      </c>
      <c r="E57" s="31">
        <f t="shared" si="15"/>
        <v>1145.7932536183932</v>
      </c>
      <c r="F57" s="31">
        <f t="shared" si="15"/>
        <v>1200.5580453713944</v>
      </c>
      <c r="G57" s="31">
        <f t="shared" si="15"/>
        <v>1254.9956831455509</v>
      </c>
      <c r="H57" s="31">
        <f t="shared" si="15"/>
        <v>1309.1081304023442</v>
      </c>
      <c r="I57" s="31">
        <f t="shared" si="15"/>
        <v>1362.8973388226887</v>
      </c>
      <c r="J57" s="31">
        <f t="shared" si="15"/>
        <v>1416.3652483776154</v>
      </c>
      <c r="K57" s="31">
        <f t="shared" si="15"/>
        <v>1469.5137873985307</v>
      </c>
      <c r="L57" s="31">
        <f t="shared" si="15"/>
        <v>1522.3448726470529</v>
      </c>
      <c r="M57" s="31">
        <f t="shared" si="15"/>
        <v>1574.860409384434</v>
      </c>
      <c r="N57" s="31">
        <f t="shared" si="15"/>
        <v>1627.062291440559</v>
      </c>
    </row>
    <row r="58" spans="2:14" ht="13.5" customHeight="1" x14ac:dyDescent="0.2">
      <c r="B58" s="19" t="s">
        <v>208</v>
      </c>
      <c r="C58" s="31">
        <f t="shared" ref="C58:N58" si="16">C48</f>
        <v>627.56481999999994</v>
      </c>
      <c r="D58" s="31">
        <f t="shared" si="16"/>
        <v>666.87985090672043</v>
      </c>
      <c r="E58" s="31">
        <f t="shared" si="16"/>
        <v>709.08266623480984</v>
      </c>
      <c r="F58" s="31">
        <f t="shared" si="16"/>
        <v>755.28398560770722</v>
      </c>
      <c r="G58" s="31">
        <f t="shared" si="16"/>
        <v>805.76801314032321</v>
      </c>
      <c r="H58" s="31">
        <f t="shared" si="16"/>
        <v>860.51076118425317</v>
      </c>
      <c r="I58" s="31">
        <f t="shared" si="16"/>
        <v>919.48838665719552</v>
      </c>
      <c r="J58" s="31">
        <f t="shared" si="16"/>
        <v>982.67719017579509</v>
      </c>
      <c r="K58" s="31">
        <f t="shared" si="16"/>
        <v>1050.0536151936892</v>
      </c>
      <c r="L58" s="31">
        <f t="shared" si="16"/>
        <v>1121.5942471447256</v>
      </c>
      <c r="M58" s="31">
        <f t="shared" si="16"/>
        <v>1197.2758125913224</v>
      </c>
      <c r="N58" s="31">
        <f t="shared" si="16"/>
        <v>1277.0751783779358</v>
      </c>
    </row>
    <row r="59" spans="2:14" ht="13.5" customHeight="1" x14ac:dyDescent="0.2">
      <c r="B59" s="22" t="s">
        <v>209</v>
      </c>
      <c r="C59" s="23">
        <f t="shared" ref="C59:N59" si="17">C56+C57-C58</f>
        <v>1051.1100000000001</v>
      </c>
      <c r="D59" s="23">
        <f t="shared" si="17"/>
        <v>1489.3383399999998</v>
      </c>
      <c r="E59" s="23">
        <f t="shared" si="17"/>
        <v>1926.0489273835828</v>
      </c>
      <c r="F59" s="23">
        <f t="shared" si="17"/>
        <v>2371.3229871472704</v>
      </c>
      <c r="G59" s="23">
        <f t="shared" si="17"/>
        <v>2820.5506571524984</v>
      </c>
      <c r="H59" s="23">
        <f t="shared" si="17"/>
        <v>3269.1480263705898</v>
      </c>
      <c r="I59" s="23">
        <f t="shared" si="17"/>
        <v>3712.5569785360831</v>
      </c>
      <c r="J59" s="23">
        <f t="shared" si="17"/>
        <v>4146.2450367379042</v>
      </c>
      <c r="K59" s="23">
        <f t="shared" si="17"/>
        <v>4565.7052089427452</v>
      </c>
      <c r="L59" s="23">
        <f t="shared" si="17"/>
        <v>4966.4558344450725</v>
      </c>
      <c r="M59" s="23">
        <f t="shared" si="17"/>
        <v>5344.0404312381843</v>
      </c>
      <c r="N59" s="23">
        <f t="shared" si="17"/>
        <v>5694.0275443008068</v>
      </c>
    </row>
    <row r="60" spans="2:14" ht="13.5" customHeight="1" x14ac:dyDescent="0.2">
      <c r="B60" s="19" t="s">
        <v>210</v>
      </c>
      <c r="C60" s="31">
        <f t="shared" ref="C60:N60" si="18">C59-C56</f>
        <v>451.11000000000013</v>
      </c>
      <c r="D60" s="31">
        <f t="shared" si="18"/>
        <v>438.22833999999966</v>
      </c>
      <c r="E60" s="31">
        <f t="shared" si="18"/>
        <v>436.71058738358306</v>
      </c>
      <c r="F60" s="31">
        <f t="shared" si="18"/>
        <v>445.27405976368755</v>
      </c>
      <c r="G60" s="31">
        <f t="shared" si="18"/>
        <v>449.22767000522799</v>
      </c>
      <c r="H60" s="31">
        <f t="shared" si="18"/>
        <v>448.59736921809144</v>
      </c>
      <c r="I60" s="31">
        <f t="shared" si="18"/>
        <v>443.40895216549325</v>
      </c>
      <c r="J60" s="31">
        <f t="shared" si="18"/>
        <v>433.68805820182115</v>
      </c>
      <c r="K60" s="31">
        <f t="shared" si="18"/>
        <v>419.460172204841</v>
      </c>
      <c r="L60" s="31">
        <f t="shared" si="18"/>
        <v>400.75062550232724</v>
      </c>
      <c r="M60" s="31">
        <f t="shared" si="18"/>
        <v>377.58459679311181</v>
      </c>
      <c r="N60" s="31">
        <f t="shared" si="18"/>
        <v>349.98711306262248</v>
      </c>
    </row>
    <row r="61" spans="2:14" ht="13.5" customHeight="1" x14ac:dyDescent="0.2">
      <c r="B61" s="19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</row>
    <row r="62" spans="2:14" ht="13.5" customHeight="1" x14ac:dyDescent="0.2">
      <c r="B62" s="19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</row>
    <row r="63" spans="2:14" ht="13.5" customHeight="1" x14ac:dyDescent="0.2">
      <c r="B63" s="19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</row>
    <row r="64" spans="2:14" ht="13.5" customHeight="1" x14ac:dyDescent="0.2">
      <c r="B64" s="19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</row>
    <row r="65" spans="2:14" ht="13.5" customHeight="1" x14ac:dyDescent="0.2">
      <c r="B65" s="19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</row>
    <row r="66" spans="2:14" ht="13.5" customHeight="1" x14ac:dyDescent="0.2">
      <c r="B66" s="19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</row>
    <row r="67" spans="2:14" ht="13.5" customHeight="1" x14ac:dyDescent="0.2">
      <c r="B67" s="19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</row>
    <row r="68" spans="2:14" ht="13.5" customHeight="1" x14ac:dyDescent="0.2">
      <c r="B68" s="19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</row>
    <row r="69" spans="2:14" ht="13.5" customHeight="1" x14ac:dyDescent="0.2">
      <c r="B69" s="19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</row>
    <row r="70" spans="2:14" ht="13.5" customHeight="1" x14ac:dyDescent="0.2">
      <c r="B70" s="19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</row>
    <row r="71" spans="2:14" ht="13.5" customHeight="1" x14ac:dyDescent="0.2"/>
    <row r="72" spans="2:14" ht="13.5" customHeight="1" x14ac:dyDescent="0.2"/>
    <row r="73" spans="2:14" ht="13.5" customHeight="1" x14ac:dyDescent="0.2"/>
    <row r="74" spans="2:14" ht="13.5" customHeight="1" x14ac:dyDescent="0.2"/>
    <row r="75" spans="2:14" ht="13.5" customHeight="1" x14ac:dyDescent="0.2"/>
    <row r="76" spans="2:14" ht="13.5" customHeight="1" x14ac:dyDescent="0.2"/>
    <row r="77" spans="2:14" ht="13.5" customHeight="1" x14ac:dyDescent="0.2"/>
    <row r="78" spans="2:14" ht="13.5" customHeight="1" x14ac:dyDescent="0.2"/>
    <row r="79" spans="2:14" ht="13.5" customHeight="1" x14ac:dyDescent="0.2"/>
    <row r="80" spans="2:14" ht="13.5" customHeight="1" x14ac:dyDescent="0.2"/>
    <row r="81" s="51" customFormat="1" ht="13.5" customHeight="1" x14ac:dyDescent="0.2"/>
    <row r="82" s="51" customFormat="1" ht="13.5" customHeight="1" x14ac:dyDescent="0.2"/>
    <row r="83" s="51" customFormat="1" ht="13.5" customHeight="1" x14ac:dyDescent="0.2"/>
    <row r="84" s="51" customFormat="1" ht="13.5" customHeight="1" x14ac:dyDescent="0.2"/>
    <row r="85" s="51" customFormat="1" ht="13.5" customHeight="1" x14ac:dyDescent="0.2"/>
    <row r="86" s="51" customFormat="1" ht="13.5" customHeight="1" x14ac:dyDescent="0.2"/>
    <row r="87" s="51" customFormat="1" ht="13.5" customHeight="1" x14ac:dyDescent="0.2"/>
    <row r="88" s="51" customFormat="1" ht="13.5" customHeight="1" x14ac:dyDescent="0.2"/>
    <row r="89" s="51" customFormat="1" ht="13.5" customHeight="1" x14ac:dyDescent="0.2"/>
    <row r="90" s="51" customFormat="1" ht="13.5" customHeight="1" x14ac:dyDescent="0.2"/>
    <row r="91" s="51" customFormat="1" ht="13.5" customHeight="1" x14ac:dyDescent="0.2"/>
    <row r="92" s="51" customFormat="1" ht="13.5" customHeight="1" x14ac:dyDescent="0.2"/>
    <row r="93" s="51" customFormat="1" ht="13.5" customHeight="1" x14ac:dyDescent="0.2"/>
    <row r="94" s="51" customFormat="1" ht="13.5" customHeight="1" x14ac:dyDescent="0.2"/>
    <row r="95" s="51" customFormat="1" ht="13.5" customHeight="1" x14ac:dyDescent="0.2"/>
    <row r="96" s="51" customFormat="1" ht="13.5" customHeight="1" x14ac:dyDescent="0.2"/>
    <row r="97" s="51" customFormat="1" ht="13.5" customHeight="1" x14ac:dyDescent="0.2"/>
    <row r="98" s="51" customFormat="1" ht="13.5" customHeight="1" x14ac:dyDescent="0.2"/>
    <row r="99" s="51" customFormat="1" ht="13.5" customHeight="1" x14ac:dyDescent="0.2"/>
    <row r="100" s="51" customFormat="1" ht="13.5" customHeight="1" x14ac:dyDescent="0.2"/>
    <row r="101" s="51" customFormat="1" ht="13.5" customHeight="1" x14ac:dyDescent="0.2"/>
    <row r="102" s="51" customFormat="1" ht="13.5" customHeight="1" x14ac:dyDescent="0.2"/>
    <row r="103" s="51" customFormat="1" ht="13.5" customHeight="1" x14ac:dyDescent="0.2"/>
    <row r="104" s="51" customFormat="1" ht="13.5" customHeight="1" x14ac:dyDescent="0.2"/>
    <row r="105" s="51" customFormat="1" ht="13.5" customHeight="1" x14ac:dyDescent="0.2"/>
    <row r="106" s="51" customFormat="1" ht="13.5" customHeight="1" x14ac:dyDescent="0.2"/>
    <row r="107" s="51" customFormat="1" ht="13.5" customHeight="1" x14ac:dyDescent="0.2"/>
    <row r="108" s="51" customFormat="1" ht="13.5" customHeight="1" x14ac:dyDescent="0.2"/>
    <row r="109" s="51" customFormat="1" ht="13.5" customHeight="1" x14ac:dyDescent="0.2"/>
    <row r="110" s="51" customFormat="1" ht="13.5" customHeight="1" x14ac:dyDescent="0.2"/>
    <row r="111" s="51" customFormat="1" ht="13.5" customHeight="1" x14ac:dyDescent="0.2"/>
    <row r="112" s="51" customFormat="1" ht="13.5" customHeight="1" x14ac:dyDescent="0.2"/>
    <row r="113" s="51" customFormat="1" ht="13.5" customHeight="1" x14ac:dyDescent="0.2"/>
    <row r="114" s="51" customFormat="1" ht="13.5" customHeight="1" x14ac:dyDescent="0.2"/>
    <row r="115" s="51" customFormat="1" ht="13.5" customHeight="1" x14ac:dyDescent="0.2"/>
    <row r="116" s="51" customFormat="1" ht="13.5" customHeight="1" x14ac:dyDescent="0.2"/>
    <row r="117" s="51" customFormat="1" ht="13.5" customHeight="1" x14ac:dyDescent="0.2"/>
    <row r="118" s="51" customFormat="1" ht="13.5" customHeight="1" x14ac:dyDescent="0.2"/>
    <row r="119" s="51" customFormat="1" ht="13.5" customHeight="1" x14ac:dyDescent="0.2"/>
    <row r="120" s="51" customFormat="1" ht="13.5" customHeight="1" x14ac:dyDescent="0.2"/>
    <row r="121" s="51" customFormat="1" ht="13.5" customHeight="1" x14ac:dyDescent="0.2"/>
    <row r="122" s="51" customFormat="1" ht="13.5" customHeight="1" x14ac:dyDescent="0.2"/>
    <row r="123" s="51" customFormat="1" ht="13.5" customHeight="1" x14ac:dyDescent="0.2"/>
    <row r="124" s="51" customFormat="1" ht="13.5" customHeight="1" x14ac:dyDescent="0.2"/>
    <row r="125" s="51" customFormat="1" ht="13.5" customHeight="1" x14ac:dyDescent="0.2"/>
    <row r="126" s="51" customFormat="1" ht="13.5" customHeight="1" x14ac:dyDescent="0.2"/>
    <row r="127" s="51" customFormat="1" ht="13.5" customHeight="1" x14ac:dyDescent="0.2"/>
    <row r="128" s="51" customFormat="1" ht="13.5" customHeight="1" x14ac:dyDescent="0.2"/>
    <row r="129" s="51" customFormat="1" ht="13.5" customHeight="1" x14ac:dyDescent="0.2"/>
    <row r="130" s="51" customFormat="1" ht="13.5" customHeight="1" x14ac:dyDescent="0.2"/>
    <row r="131" s="51" customFormat="1" ht="13.5" customHeight="1" x14ac:dyDescent="0.2"/>
    <row r="132" s="51" customFormat="1" ht="13.5" customHeight="1" x14ac:dyDescent="0.2"/>
    <row r="133" s="51" customFormat="1" ht="13.5" customHeight="1" x14ac:dyDescent="0.2"/>
    <row r="134" s="51" customFormat="1" ht="13.5" customHeight="1" x14ac:dyDescent="0.2"/>
    <row r="135" s="51" customFormat="1" ht="13.5" customHeight="1" x14ac:dyDescent="0.2"/>
    <row r="136" s="51" customFormat="1" ht="13.5" customHeight="1" x14ac:dyDescent="0.2"/>
    <row r="137" s="51" customFormat="1" ht="13.5" customHeight="1" x14ac:dyDescent="0.2"/>
    <row r="138" s="51" customFormat="1" ht="13.5" customHeight="1" x14ac:dyDescent="0.2"/>
    <row r="139" s="51" customFormat="1" ht="13.5" customHeight="1" x14ac:dyDescent="0.2"/>
    <row r="140" s="51" customFormat="1" ht="13.5" customHeight="1" x14ac:dyDescent="0.2"/>
    <row r="141" s="51" customFormat="1" ht="13.5" customHeight="1" x14ac:dyDescent="0.2"/>
    <row r="142" s="51" customFormat="1" ht="13.5" customHeight="1" x14ac:dyDescent="0.2"/>
    <row r="143" s="51" customFormat="1" ht="13.5" customHeight="1" x14ac:dyDescent="0.2"/>
    <row r="144" s="51" customFormat="1" ht="13.5" customHeight="1" x14ac:dyDescent="0.2"/>
    <row r="145" s="51" customFormat="1" ht="13.5" customHeight="1" x14ac:dyDescent="0.2"/>
    <row r="146" s="51" customFormat="1" ht="13.5" customHeight="1" x14ac:dyDescent="0.2"/>
    <row r="147" s="51" customFormat="1" ht="13.5" customHeight="1" x14ac:dyDescent="0.2"/>
    <row r="148" s="51" customFormat="1" ht="13.5" customHeight="1" x14ac:dyDescent="0.2"/>
    <row r="149" s="51" customFormat="1" ht="13.5" customHeight="1" x14ac:dyDescent="0.2"/>
    <row r="150" s="51" customFormat="1" ht="13.5" customHeight="1" x14ac:dyDescent="0.2"/>
    <row r="151" s="51" customFormat="1" ht="13.5" customHeight="1" x14ac:dyDescent="0.2"/>
    <row r="152" s="51" customFormat="1" ht="13.5" customHeight="1" x14ac:dyDescent="0.2"/>
    <row r="153" s="51" customFormat="1" ht="13.5" customHeight="1" x14ac:dyDescent="0.2"/>
    <row r="154" s="51" customFormat="1" ht="13.5" customHeight="1" x14ac:dyDescent="0.2"/>
    <row r="155" s="51" customFormat="1" ht="13.5" customHeight="1" x14ac:dyDescent="0.2"/>
    <row r="156" s="51" customFormat="1" ht="13.5" customHeight="1" x14ac:dyDescent="0.2"/>
    <row r="157" s="51" customFormat="1" ht="13.5" customHeight="1" x14ac:dyDescent="0.2"/>
    <row r="158" s="51" customFormat="1" ht="13.5" customHeight="1" x14ac:dyDescent="0.2"/>
    <row r="159" s="51" customFormat="1" ht="13.5" customHeight="1" x14ac:dyDescent="0.2"/>
    <row r="160" s="51" customFormat="1" ht="13.5" customHeight="1" x14ac:dyDescent="0.2"/>
    <row r="161" s="51" customFormat="1" ht="13.5" customHeight="1" x14ac:dyDescent="0.2"/>
    <row r="162" s="51" customFormat="1" ht="13.5" customHeight="1" x14ac:dyDescent="0.2"/>
    <row r="163" s="51" customFormat="1" ht="13.5" customHeight="1" x14ac:dyDescent="0.2"/>
    <row r="164" s="51" customFormat="1" ht="13.5" customHeight="1" x14ac:dyDescent="0.2"/>
    <row r="165" s="51" customFormat="1" ht="13.5" customHeight="1" x14ac:dyDescent="0.2"/>
    <row r="166" s="51" customFormat="1" ht="13.5" customHeight="1" x14ac:dyDescent="0.2"/>
    <row r="167" s="51" customFormat="1" ht="13.5" customHeight="1" x14ac:dyDescent="0.2"/>
    <row r="168" s="51" customFormat="1" ht="13.5" customHeight="1" x14ac:dyDescent="0.2"/>
    <row r="169" s="51" customFormat="1" ht="13.5" customHeight="1" x14ac:dyDescent="0.2"/>
    <row r="170" s="51" customFormat="1" ht="13.5" customHeight="1" x14ac:dyDescent="0.2"/>
    <row r="171" s="51" customFormat="1" ht="13.5" customHeight="1" x14ac:dyDescent="0.2"/>
    <row r="172" s="51" customFormat="1" ht="13.5" customHeight="1" x14ac:dyDescent="0.2"/>
    <row r="173" s="51" customFormat="1" ht="13.5" customHeight="1" x14ac:dyDescent="0.2"/>
    <row r="174" s="51" customFormat="1" ht="13.5" customHeight="1" x14ac:dyDescent="0.2"/>
    <row r="175" s="51" customFormat="1" ht="13.5" customHeight="1" x14ac:dyDescent="0.2"/>
    <row r="176" s="51" customFormat="1" ht="13.5" customHeight="1" x14ac:dyDescent="0.2"/>
    <row r="177" s="51" customFormat="1" ht="13.5" customHeight="1" x14ac:dyDescent="0.2"/>
    <row r="178" s="51" customFormat="1" ht="13.5" customHeight="1" x14ac:dyDescent="0.2"/>
    <row r="179" s="51" customFormat="1" ht="13.5" customHeight="1" x14ac:dyDescent="0.2"/>
    <row r="180" s="51" customFormat="1" ht="13.5" customHeight="1" x14ac:dyDescent="0.2"/>
    <row r="181" s="51" customFormat="1" ht="13.5" customHeight="1" x14ac:dyDescent="0.2"/>
    <row r="182" s="51" customFormat="1" ht="13.5" customHeight="1" x14ac:dyDescent="0.2"/>
    <row r="183" s="51" customFormat="1" ht="13.5" customHeight="1" x14ac:dyDescent="0.2"/>
    <row r="184" s="51" customFormat="1" ht="13.5" customHeight="1" x14ac:dyDescent="0.2"/>
    <row r="185" s="51" customFormat="1" ht="13.5" customHeight="1" x14ac:dyDescent="0.2"/>
    <row r="186" s="51" customFormat="1" ht="13.5" customHeight="1" x14ac:dyDescent="0.2"/>
    <row r="187" s="51" customFormat="1" ht="13.5" customHeight="1" x14ac:dyDescent="0.2"/>
    <row r="188" s="51" customFormat="1" ht="13.5" customHeight="1" x14ac:dyDescent="0.2"/>
    <row r="189" s="51" customFormat="1" ht="13.5" customHeight="1" x14ac:dyDescent="0.2"/>
    <row r="190" s="51" customFormat="1" ht="13.5" customHeight="1" x14ac:dyDescent="0.2"/>
    <row r="191" s="51" customFormat="1" ht="13.5" customHeight="1" x14ac:dyDescent="0.2"/>
    <row r="192" s="51" customFormat="1" ht="13.5" customHeight="1" x14ac:dyDescent="0.2"/>
    <row r="193" s="51" customFormat="1" ht="13.5" customHeight="1" x14ac:dyDescent="0.2"/>
    <row r="194" s="51" customFormat="1" ht="13.5" customHeight="1" x14ac:dyDescent="0.2"/>
    <row r="195" s="51" customFormat="1" ht="13.5" customHeight="1" x14ac:dyDescent="0.2"/>
    <row r="196" s="51" customFormat="1" ht="13.5" customHeight="1" x14ac:dyDescent="0.2"/>
    <row r="197" s="51" customFormat="1" ht="13.5" customHeight="1" x14ac:dyDescent="0.2"/>
    <row r="198" s="51" customFormat="1" ht="13.5" customHeight="1" x14ac:dyDescent="0.2"/>
    <row r="199" s="51" customFormat="1" ht="13.5" customHeight="1" x14ac:dyDescent="0.2"/>
    <row r="200" s="51" customFormat="1" ht="13.5" customHeight="1" x14ac:dyDescent="0.2"/>
    <row r="201" s="51" customFormat="1" ht="13.5" customHeight="1" x14ac:dyDescent="0.2"/>
    <row r="202" s="51" customFormat="1" ht="13.5" customHeight="1" x14ac:dyDescent="0.2"/>
    <row r="203" s="51" customFormat="1" ht="13.5" customHeight="1" x14ac:dyDescent="0.2"/>
    <row r="204" s="51" customFormat="1" ht="13.5" customHeight="1" x14ac:dyDescent="0.2"/>
    <row r="205" s="51" customFormat="1" ht="13.5" customHeight="1" x14ac:dyDescent="0.2"/>
    <row r="206" s="51" customFormat="1" ht="13.5" customHeight="1" x14ac:dyDescent="0.2"/>
    <row r="207" s="51" customFormat="1" ht="13.5" customHeight="1" x14ac:dyDescent="0.2"/>
    <row r="208" s="51" customFormat="1" ht="13.5" customHeight="1" x14ac:dyDescent="0.2"/>
    <row r="209" s="51" customFormat="1" ht="13.5" customHeight="1" x14ac:dyDescent="0.2"/>
    <row r="210" s="51" customFormat="1" ht="13.5" customHeight="1" x14ac:dyDescent="0.2"/>
    <row r="211" s="51" customFormat="1" ht="13.5" customHeight="1" x14ac:dyDescent="0.2"/>
    <row r="212" s="51" customFormat="1" ht="13.5" customHeight="1" x14ac:dyDescent="0.2"/>
    <row r="213" s="51" customFormat="1" ht="13.5" customHeight="1" x14ac:dyDescent="0.2"/>
    <row r="214" s="51" customFormat="1" ht="13.5" customHeight="1" x14ac:dyDescent="0.2"/>
    <row r="215" s="51" customFormat="1" ht="13.5" customHeight="1" x14ac:dyDescent="0.2"/>
    <row r="216" s="51" customFormat="1" ht="13.5" customHeight="1" x14ac:dyDescent="0.2"/>
    <row r="217" s="51" customFormat="1" ht="13.5" customHeight="1" x14ac:dyDescent="0.2"/>
    <row r="218" s="51" customFormat="1" ht="13.5" customHeight="1" x14ac:dyDescent="0.2"/>
    <row r="219" s="51" customFormat="1" ht="13.5" customHeight="1" x14ac:dyDescent="0.2"/>
    <row r="220" s="51" customFormat="1" ht="13.5" customHeight="1" x14ac:dyDescent="0.2"/>
    <row r="221" s="51" customFormat="1" ht="13.5" customHeight="1" x14ac:dyDescent="0.2"/>
    <row r="222" s="51" customFormat="1" ht="13.5" customHeight="1" x14ac:dyDescent="0.2"/>
    <row r="223" s="51" customFormat="1" ht="13.5" customHeight="1" x14ac:dyDescent="0.2"/>
    <row r="224" s="51" customFormat="1" ht="13.5" customHeight="1" x14ac:dyDescent="0.2"/>
    <row r="225" s="51" customFormat="1" ht="13.5" customHeight="1" x14ac:dyDescent="0.2"/>
    <row r="226" s="51" customFormat="1" ht="13.5" customHeight="1" x14ac:dyDescent="0.2"/>
    <row r="227" s="51" customFormat="1" ht="13.5" customHeight="1" x14ac:dyDescent="0.2"/>
    <row r="228" s="51" customFormat="1" ht="13.5" customHeight="1" x14ac:dyDescent="0.2"/>
    <row r="229" s="51" customFormat="1" ht="13.5" customHeight="1" x14ac:dyDescent="0.2"/>
    <row r="230" s="51" customFormat="1" ht="13.5" customHeight="1" x14ac:dyDescent="0.2"/>
    <row r="231" s="51" customFormat="1" ht="13.5" customHeight="1" x14ac:dyDescent="0.2"/>
    <row r="232" s="51" customFormat="1" ht="13.5" customHeight="1" x14ac:dyDescent="0.2"/>
    <row r="233" s="51" customFormat="1" ht="13.5" customHeight="1" x14ac:dyDescent="0.2"/>
    <row r="234" s="51" customFormat="1" ht="13.5" customHeight="1" x14ac:dyDescent="0.2"/>
    <row r="235" s="51" customFormat="1" ht="13.5" customHeight="1" x14ac:dyDescent="0.2"/>
    <row r="236" s="51" customFormat="1" ht="13.5" customHeight="1" x14ac:dyDescent="0.2"/>
    <row r="237" s="51" customFormat="1" ht="13.5" customHeight="1" x14ac:dyDescent="0.2"/>
    <row r="238" s="51" customFormat="1" ht="13.5" customHeight="1" x14ac:dyDescent="0.2"/>
    <row r="239" s="51" customFormat="1" ht="13.5" customHeight="1" x14ac:dyDescent="0.2"/>
    <row r="240" s="51" customFormat="1" ht="13.5" customHeight="1" x14ac:dyDescent="0.2"/>
    <row r="241" s="51" customFormat="1" ht="13.5" customHeight="1" x14ac:dyDescent="0.2"/>
    <row r="242" s="51" customFormat="1" ht="13.5" customHeight="1" x14ac:dyDescent="0.2"/>
    <row r="243" s="51" customFormat="1" ht="13.5" customHeight="1" x14ac:dyDescent="0.2"/>
    <row r="244" s="51" customFormat="1" ht="13.5" customHeight="1" x14ac:dyDescent="0.2"/>
    <row r="245" s="51" customFormat="1" ht="13.5" customHeight="1" x14ac:dyDescent="0.2"/>
    <row r="246" s="51" customFormat="1" ht="13.5" customHeight="1" x14ac:dyDescent="0.2"/>
    <row r="247" s="51" customFormat="1" ht="13.5" customHeight="1" x14ac:dyDescent="0.2"/>
    <row r="248" s="51" customFormat="1" ht="13.5" customHeight="1" x14ac:dyDescent="0.2"/>
    <row r="249" s="51" customFormat="1" ht="13.5" customHeight="1" x14ac:dyDescent="0.2"/>
    <row r="250" s="51" customFormat="1" ht="13.5" customHeight="1" x14ac:dyDescent="0.2"/>
    <row r="251" s="51" customFormat="1" ht="13.5" customHeight="1" x14ac:dyDescent="0.2"/>
    <row r="252" s="51" customFormat="1" ht="13.5" customHeight="1" x14ac:dyDescent="0.2"/>
    <row r="253" s="51" customFormat="1" ht="13.5" customHeight="1" x14ac:dyDescent="0.2"/>
    <row r="254" s="51" customFormat="1" ht="13.5" customHeight="1" x14ac:dyDescent="0.2"/>
    <row r="255" s="51" customFormat="1" ht="13.5" customHeight="1" x14ac:dyDescent="0.2"/>
    <row r="256" s="51" customFormat="1" ht="13.5" customHeight="1" x14ac:dyDescent="0.2"/>
    <row r="257" s="51" customFormat="1" ht="13.5" customHeight="1" x14ac:dyDescent="0.2"/>
    <row r="258" s="51" customFormat="1" ht="13.5" customHeight="1" x14ac:dyDescent="0.2"/>
    <row r="259" s="51" customFormat="1" ht="13.5" customHeight="1" x14ac:dyDescent="0.2"/>
    <row r="260" s="51" customFormat="1" ht="13.5" customHeight="1" x14ac:dyDescent="0.2"/>
    <row r="261" s="51" customFormat="1" ht="13.5" customHeight="1" x14ac:dyDescent="0.2"/>
    <row r="262" s="51" customFormat="1" ht="13.5" customHeight="1" x14ac:dyDescent="0.2"/>
    <row r="263" s="51" customFormat="1" ht="13.5" customHeight="1" x14ac:dyDescent="0.2"/>
    <row r="264" s="51" customFormat="1" ht="13.5" customHeight="1" x14ac:dyDescent="0.2"/>
    <row r="265" s="51" customFormat="1" ht="13.5" customHeight="1" x14ac:dyDescent="0.2"/>
    <row r="266" s="51" customFormat="1" ht="13.5" customHeight="1" x14ac:dyDescent="0.2"/>
    <row r="267" s="51" customFormat="1" ht="13.5" customHeight="1" x14ac:dyDescent="0.2"/>
    <row r="268" s="51" customFormat="1" ht="13.5" customHeight="1" x14ac:dyDescent="0.2"/>
    <row r="269" s="51" customFormat="1" ht="13.5" customHeight="1" x14ac:dyDescent="0.2"/>
    <row r="270" s="51" customFormat="1" ht="13.5" customHeight="1" x14ac:dyDescent="0.2"/>
    <row r="271" s="51" customFormat="1" ht="13.5" customHeight="1" x14ac:dyDescent="0.2"/>
    <row r="272" s="51" customFormat="1" ht="13.5" customHeight="1" x14ac:dyDescent="0.2"/>
    <row r="273" s="51" customFormat="1" ht="13.5" customHeight="1" x14ac:dyDescent="0.2"/>
    <row r="274" s="51" customFormat="1" ht="13.5" customHeight="1" x14ac:dyDescent="0.2"/>
    <row r="275" s="51" customFormat="1" ht="13.5" customHeight="1" x14ac:dyDescent="0.2"/>
    <row r="276" s="51" customFormat="1" ht="13.5" customHeight="1" x14ac:dyDescent="0.2"/>
    <row r="277" s="51" customFormat="1" ht="13.5" customHeight="1" x14ac:dyDescent="0.2"/>
    <row r="278" s="51" customFormat="1" ht="13.5" customHeight="1" x14ac:dyDescent="0.2"/>
    <row r="279" s="51" customFormat="1" ht="13.5" customHeight="1" x14ac:dyDescent="0.2"/>
    <row r="280" s="51" customFormat="1" ht="13.5" customHeight="1" x14ac:dyDescent="0.2"/>
    <row r="281" s="51" customFormat="1" ht="13.5" customHeight="1" x14ac:dyDescent="0.2"/>
    <row r="282" s="51" customFormat="1" ht="13.5" customHeight="1" x14ac:dyDescent="0.2"/>
    <row r="283" s="51" customFormat="1" ht="13.5" customHeight="1" x14ac:dyDescent="0.2"/>
    <row r="284" s="51" customFormat="1" ht="13.5" customHeight="1" x14ac:dyDescent="0.2"/>
    <row r="285" s="51" customFormat="1" ht="13.5" customHeight="1" x14ac:dyDescent="0.2"/>
    <row r="286" s="51" customFormat="1" ht="13.5" customHeight="1" x14ac:dyDescent="0.2"/>
    <row r="287" s="51" customFormat="1" ht="13.5" customHeight="1" x14ac:dyDescent="0.2"/>
    <row r="288" s="51" customFormat="1" ht="13.5" customHeight="1" x14ac:dyDescent="0.2"/>
    <row r="289" s="51" customFormat="1" ht="13.5" customHeight="1" x14ac:dyDescent="0.2"/>
    <row r="290" s="51" customFormat="1" ht="13.5" customHeight="1" x14ac:dyDescent="0.2"/>
    <row r="291" s="51" customFormat="1" ht="13.5" customHeight="1" x14ac:dyDescent="0.2"/>
    <row r="292" s="51" customFormat="1" ht="13.5" customHeight="1" x14ac:dyDescent="0.2"/>
    <row r="293" s="51" customFormat="1" ht="13.5" customHeight="1" x14ac:dyDescent="0.2"/>
    <row r="294" s="51" customFormat="1" ht="13.5" customHeight="1" x14ac:dyDescent="0.2"/>
    <row r="295" s="51" customFormat="1" ht="13.5" customHeight="1" x14ac:dyDescent="0.2"/>
    <row r="296" s="51" customFormat="1" ht="13.5" customHeight="1" x14ac:dyDescent="0.2"/>
    <row r="297" s="51" customFormat="1" ht="13.5" customHeight="1" x14ac:dyDescent="0.2"/>
    <row r="298" s="51" customFormat="1" ht="13.5" customHeight="1" x14ac:dyDescent="0.2"/>
    <row r="299" s="51" customFormat="1" ht="13.5" customHeight="1" x14ac:dyDescent="0.2"/>
    <row r="300" s="51" customFormat="1" ht="13.5" customHeight="1" x14ac:dyDescent="0.2"/>
    <row r="301" s="51" customFormat="1" ht="13.5" customHeight="1" x14ac:dyDescent="0.2"/>
    <row r="302" s="51" customFormat="1" ht="13.5" customHeight="1" x14ac:dyDescent="0.2"/>
    <row r="303" s="51" customFormat="1" ht="13.5" customHeight="1" x14ac:dyDescent="0.2"/>
    <row r="304" s="51" customFormat="1" ht="13.5" customHeight="1" x14ac:dyDescent="0.2"/>
    <row r="305" s="51" customFormat="1" ht="13.5" customHeight="1" x14ac:dyDescent="0.2"/>
    <row r="306" s="51" customFormat="1" ht="13.5" customHeight="1" x14ac:dyDescent="0.2"/>
    <row r="307" s="51" customFormat="1" ht="13.5" customHeight="1" x14ac:dyDescent="0.2"/>
    <row r="308" s="51" customFormat="1" ht="13.5" customHeight="1" x14ac:dyDescent="0.2"/>
    <row r="309" s="51" customFormat="1" ht="13.5" customHeight="1" x14ac:dyDescent="0.2"/>
    <row r="310" s="51" customFormat="1" ht="13.5" customHeight="1" x14ac:dyDescent="0.2"/>
    <row r="311" s="51" customFormat="1" ht="13.5" customHeight="1" x14ac:dyDescent="0.2"/>
    <row r="312" s="51" customFormat="1" ht="13.5" customHeight="1" x14ac:dyDescent="0.2"/>
    <row r="313" s="51" customFormat="1" ht="13.5" customHeight="1" x14ac:dyDescent="0.2"/>
    <row r="314" s="51" customFormat="1" ht="13.5" customHeight="1" x14ac:dyDescent="0.2"/>
    <row r="315" s="51" customFormat="1" ht="13.5" customHeight="1" x14ac:dyDescent="0.2"/>
    <row r="316" s="51" customFormat="1" ht="13.5" customHeight="1" x14ac:dyDescent="0.2"/>
    <row r="317" s="51" customFormat="1" ht="13.5" customHeight="1" x14ac:dyDescent="0.2"/>
    <row r="318" s="51" customFormat="1" ht="13.5" customHeight="1" x14ac:dyDescent="0.2"/>
    <row r="319" s="51" customFormat="1" ht="13.5" customHeight="1" x14ac:dyDescent="0.2"/>
    <row r="320" s="51" customFormat="1" ht="13.5" customHeight="1" x14ac:dyDescent="0.2"/>
    <row r="321" s="51" customFormat="1" ht="13.5" customHeight="1" x14ac:dyDescent="0.2"/>
    <row r="322" s="51" customFormat="1" ht="13.5" customHeight="1" x14ac:dyDescent="0.2"/>
    <row r="323" s="51" customFormat="1" ht="13.5" customHeight="1" x14ac:dyDescent="0.2"/>
    <row r="324" s="51" customFormat="1" ht="13.5" customHeight="1" x14ac:dyDescent="0.2"/>
    <row r="325" s="51" customFormat="1" ht="13.5" customHeight="1" x14ac:dyDescent="0.2"/>
    <row r="326" s="51" customFormat="1" ht="13.5" customHeight="1" x14ac:dyDescent="0.2"/>
    <row r="327" s="51" customFormat="1" ht="13.5" customHeight="1" x14ac:dyDescent="0.2"/>
    <row r="328" s="51" customFormat="1" ht="13.5" customHeight="1" x14ac:dyDescent="0.2"/>
    <row r="329" s="51" customFormat="1" ht="13.5" customHeight="1" x14ac:dyDescent="0.2"/>
    <row r="330" s="51" customFormat="1" ht="13.5" customHeight="1" x14ac:dyDescent="0.2"/>
    <row r="331" s="51" customFormat="1" ht="13.5" customHeight="1" x14ac:dyDescent="0.2"/>
    <row r="332" s="51" customFormat="1" ht="13.5" customHeight="1" x14ac:dyDescent="0.2"/>
    <row r="333" s="51" customFormat="1" ht="13.5" customHeight="1" x14ac:dyDescent="0.2"/>
    <row r="334" s="51" customFormat="1" ht="13.5" customHeight="1" x14ac:dyDescent="0.2"/>
    <row r="335" s="51" customFormat="1" ht="13.5" customHeight="1" x14ac:dyDescent="0.2"/>
    <row r="336" s="51" customFormat="1" ht="13.5" customHeight="1" x14ac:dyDescent="0.2"/>
    <row r="337" s="51" customFormat="1" ht="13.5" customHeight="1" x14ac:dyDescent="0.2"/>
    <row r="338" s="51" customFormat="1" ht="13.5" customHeight="1" x14ac:dyDescent="0.2"/>
    <row r="339" s="51" customFormat="1" ht="13.5" customHeight="1" x14ac:dyDescent="0.2"/>
    <row r="340" s="51" customFormat="1" ht="13.5" customHeight="1" x14ac:dyDescent="0.2"/>
    <row r="341" s="51" customFormat="1" ht="13.5" customHeight="1" x14ac:dyDescent="0.2"/>
    <row r="342" s="51" customFormat="1" ht="13.5" customHeight="1" x14ac:dyDescent="0.2"/>
    <row r="343" s="51" customFormat="1" ht="13.5" customHeight="1" x14ac:dyDescent="0.2"/>
    <row r="344" s="51" customFormat="1" ht="13.5" customHeight="1" x14ac:dyDescent="0.2"/>
    <row r="345" s="51" customFormat="1" ht="13.5" customHeight="1" x14ac:dyDescent="0.2"/>
    <row r="346" s="51" customFormat="1" ht="13.5" customHeight="1" x14ac:dyDescent="0.2"/>
    <row r="347" s="51" customFormat="1" ht="13.5" customHeight="1" x14ac:dyDescent="0.2"/>
    <row r="348" s="51" customFormat="1" ht="13.5" customHeight="1" x14ac:dyDescent="0.2"/>
    <row r="349" s="51" customFormat="1" ht="13.5" customHeight="1" x14ac:dyDescent="0.2"/>
    <row r="350" s="51" customFormat="1" ht="13.5" customHeight="1" x14ac:dyDescent="0.2"/>
    <row r="351" s="51" customFormat="1" ht="13.5" customHeight="1" x14ac:dyDescent="0.2"/>
    <row r="352" s="51" customFormat="1" ht="13.5" customHeight="1" x14ac:dyDescent="0.2"/>
    <row r="353" s="51" customFormat="1" ht="13.5" customHeight="1" x14ac:dyDescent="0.2"/>
    <row r="354" s="51" customFormat="1" ht="13.5" customHeight="1" x14ac:dyDescent="0.2"/>
    <row r="355" s="51" customFormat="1" ht="13.5" customHeight="1" x14ac:dyDescent="0.2"/>
    <row r="356" s="51" customFormat="1" ht="13.5" customHeight="1" x14ac:dyDescent="0.2"/>
    <row r="357" s="51" customFormat="1" ht="13.5" customHeight="1" x14ac:dyDescent="0.2"/>
    <row r="358" s="51" customFormat="1" ht="13.5" customHeight="1" x14ac:dyDescent="0.2"/>
    <row r="359" s="51" customFormat="1" ht="13.5" customHeight="1" x14ac:dyDescent="0.2"/>
    <row r="360" s="51" customFormat="1" ht="13.5" customHeight="1" x14ac:dyDescent="0.2"/>
    <row r="361" s="51" customFormat="1" ht="13.5" customHeight="1" x14ac:dyDescent="0.2"/>
    <row r="362" s="51" customFormat="1" ht="13.5" customHeight="1" x14ac:dyDescent="0.2"/>
    <row r="363" s="51" customFormat="1" ht="13.5" customHeight="1" x14ac:dyDescent="0.2"/>
    <row r="364" s="51" customFormat="1" ht="13.5" customHeight="1" x14ac:dyDescent="0.2"/>
    <row r="365" s="51" customFormat="1" ht="13.5" customHeight="1" x14ac:dyDescent="0.2"/>
    <row r="366" s="51" customFormat="1" ht="13.5" customHeight="1" x14ac:dyDescent="0.2"/>
    <row r="367" s="51" customFormat="1" ht="13.5" customHeight="1" x14ac:dyDescent="0.2"/>
    <row r="368" s="51" customFormat="1" ht="13.5" customHeight="1" x14ac:dyDescent="0.2"/>
    <row r="369" s="51" customFormat="1" ht="13.5" customHeight="1" x14ac:dyDescent="0.2"/>
    <row r="370" s="51" customFormat="1" ht="13.5" customHeight="1" x14ac:dyDescent="0.2"/>
    <row r="371" s="51" customFormat="1" ht="13.5" customHeight="1" x14ac:dyDescent="0.2"/>
    <row r="372" s="51" customFormat="1" ht="13.5" customHeight="1" x14ac:dyDescent="0.2"/>
    <row r="373" s="51" customFormat="1" ht="13.5" customHeight="1" x14ac:dyDescent="0.2"/>
    <row r="374" s="51" customFormat="1" ht="13.5" customHeight="1" x14ac:dyDescent="0.2"/>
    <row r="375" s="51" customFormat="1" ht="13.5" customHeight="1" x14ac:dyDescent="0.2"/>
    <row r="376" s="51" customFormat="1" ht="13.5" customHeight="1" x14ac:dyDescent="0.2"/>
    <row r="377" s="51" customFormat="1" ht="13.5" customHeight="1" x14ac:dyDescent="0.2"/>
    <row r="378" s="51" customFormat="1" ht="13.5" customHeight="1" x14ac:dyDescent="0.2"/>
    <row r="379" s="51" customFormat="1" ht="13.5" customHeight="1" x14ac:dyDescent="0.2"/>
    <row r="380" s="51" customFormat="1" ht="13.5" customHeight="1" x14ac:dyDescent="0.2"/>
    <row r="381" s="51" customFormat="1" ht="13.5" customHeight="1" x14ac:dyDescent="0.2"/>
    <row r="382" s="51" customFormat="1" ht="13.5" customHeight="1" x14ac:dyDescent="0.2"/>
    <row r="383" s="51" customFormat="1" ht="13.5" customHeight="1" x14ac:dyDescent="0.2"/>
    <row r="384" s="51" customFormat="1" ht="13.5" customHeight="1" x14ac:dyDescent="0.2"/>
    <row r="385" s="51" customFormat="1" ht="13.5" customHeight="1" x14ac:dyDescent="0.2"/>
    <row r="386" s="51" customFormat="1" ht="13.5" customHeight="1" x14ac:dyDescent="0.2"/>
    <row r="387" s="51" customFormat="1" ht="13.5" customHeight="1" x14ac:dyDescent="0.2"/>
    <row r="388" s="51" customFormat="1" ht="13.5" customHeight="1" x14ac:dyDescent="0.2"/>
    <row r="389" s="51" customFormat="1" ht="13.5" customHeight="1" x14ac:dyDescent="0.2"/>
    <row r="390" s="51" customFormat="1" ht="13.5" customHeight="1" x14ac:dyDescent="0.2"/>
    <row r="391" s="51" customFormat="1" ht="13.5" customHeight="1" x14ac:dyDescent="0.2"/>
    <row r="392" s="51" customFormat="1" ht="13.5" customHeight="1" x14ac:dyDescent="0.2"/>
    <row r="393" s="51" customFormat="1" ht="13.5" customHeight="1" x14ac:dyDescent="0.2"/>
    <row r="394" s="51" customFormat="1" ht="13.5" customHeight="1" x14ac:dyDescent="0.2"/>
    <row r="395" s="51" customFormat="1" ht="13.5" customHeight="1" x14ac:dyDescent="0.2"/>
    <row r="396" s="51" customFormat="1" ht="13.5" customHeight="1" x14ac:dyDescent="0.2"/>
    <row r="397" s="51" customFormat="1" ht="13.5" customHeight="1" x14ac:dyDescent="0.2"/>
    <row r="398" s="51" customFormat="1" ht="13.5" customHeight="1" x14ac:dyDescent="0.2"/>
    <row r="399" s="51" customFormat="1" ht="13.5" customHeight="1" x14ac:dyDescent="0.2"/>
    <row r="400" s="51" customFormat="1" ht="13.5" customHeight="1" x14ac:dyDescent="0.2"/>
    <row r="401" s="51" customFormat="1" ht="13.5" customHeight="1" x14ac:dyDescent="0.2"/>
    <row r="402" s="51" customFormat="1" ht="13.5" customHeight="1" x14ac:dyDescent="0.2"/>
    <row r="403" s="51" customFormat="1" ht="13.5" customHeight="1" x14ac:dyDescent="0.2"/>
    <row r="404" s="51" customFormat="1" ht="13.5" customHeight="1" x14ac:dyDescent="0.2"/>
    <row r="405" s="51" customFormat="1" ht="13.5" customHeight="1" x14ac:dyDescent="0.2"/>
    <row r="406" s="51" customFormat="1" ht="13.5" customHeight="1" x14ac:dyDescent="0.2"/>
    <row r="407" s="51" customFormat="1" ht="13.5" customHeight="1" x14ac:dyDescent="0.2"/>
    <row r="408" s="51" customFormat="1" ht="13.5" customHeight="1" x14ac:dyDescent="0.2"/>
    <row r="409" s="51" customFormat="1" ht="13.5" customHeight="1" x14ac:dyDescent="0.2"/>
    <row r="410" s="51" customFormat="1" ht="13.5" customHeight="1" x14ac:dyDescent="0.2"/>
    <row r="411" s="51" customFormat="1" ht="13.5" customHeight="1" x14ac:dyDescent="0.2"/>
    <row r="412" s="51" customFormat="1" ht="13.5" customHeight="1" x14ac:dyDescent="0.2"/>
    <row r="413" s="51" customFormat="1" ht="13.5" customHeight="1" x14ac:dyDescent="0.2"/>
    <row r="414" s="51" customFormat="1" ht="13.5" customHeight="1" x14ac:dyDescent="0.2"/>
    <row r="415" s="51" customFormat="1" ht="13.5" customHeight="1" x14ac:dyDescent="0.2"/>
    <row r="416" s="51" customFormat="1" ht="13.5" customHeight="1" x14ac:dyDescent="0.2"/>
    <row r="417" s="51" customFormat="1" ht="13.5" customHeight="1" x14ac:dyDescent="0.2"/>
    <row r="418" s="51" customFormat="1" ht="13.5" customHeight="1" x14ac:dyDescent="0.2"/>
    <row r="419" s="51" customFormat="1" ht="13.5" customHeight="1" x14ac:dyDescent="0.2"/>
    <row r="420" s="51" customFormat="1" ht="13.5" customHeight="1" x14ac:dyDescent="0.2"/>
    <row r="421" s="51" customFormat="1" ht="13.5" customHeight="1" x14ac:dyDescent="0.2"/>
    <row r="422" s="51" customFormat="1" ht="13.5" customHeight="1" x14ac:dyDescent="0.2"/>
    <row r="423" s="51" customFormat="1" ht="13.5" customHeight="1" x14ac:dyDescent="0.2"/>
    <row r="424" s="51" customFormat="1" ht="13.5" customHeight="1" x14ac:dyDescent="0.2"/>
    <row r="425" s="51" customFormat="1" ht="13.5" customHeight="1" x14ac:dyDescent="0.2"/>
    <row r="426" s="51" customFormat="1" ht="13.5" customHeight="1" x14ac:dyDescent="0.2"/>
    <row r="427" s="51" customFormat="1" ht="13.5" customHeight="1" x14ac:dyDescent="0.2"/>
    <row r="428" s="51" customFormat="1" ht="13.5" customHeight="1" x14ac:dyDescent="0.2"/>
    <row r="429" s="51" customFormat="1" ht="13.5" customHeight="1" x14ac:dyDescent="0.2"/>
    <row r="430" s="51" customFormat="1" ht="13.5" customHeight="1" x14ac:dyDescent="0.2"/>
    <row r="431" s="51" customFormat="1" ht="13.5" customHeight="1" x14ac:dyDescent="0.2"/>
    <row r="432" s="51" customFormat="1" ht="13.5" customHeight="1" x14ac:dyDescent="0.2"/>
    <row r="433" s="51" customFormat="1" ht="13.5" customHeight="1" x14ac:dyDescent="0.2"/>
    <row r="434" s="51" customFormat="1" ht="13.5" customHeight="1" x14ac:dyDescent="0.2"/>
    <row r="435" s="51" customFormat="1" ht="13.5" customHeight="1" x14ac:dyDescent="0.2"/>
    <row r="436" s="51" customFormat="1" ht="13.5" customHeight="1" x14ac:dyDescent="0.2"/>
    <row r="437" s="51" customFormat="1" ht="13.5" customHeight="1" x14ac:dyDescent="0.2"/>
    <row r="438" s="51" customFormat="1" ht="13.5" customHeight="1" x14ac:dyDescent="0.2"/>
    <row r="439" s="51" customFormat="1" ht="13.5" customHeight="1" x14ac:dyDescent="0.2"/>
    <row r="440" s="51" customFormat="1" ht="13.5" customHeight="1" x14ac:dyDescent="0.2"/>
    <row r="441" s="51" customFormat="1" ht="13.5" customHeight="1" x14ac:dyDescent="0.2"/>
    <row r="442" s="51" customFormat="1" ht="13.5" customHeight="1" x14ac:dyDescent="0.2"/>
    <row r="443" s="51" customFormat="1" ht="13.5" customHeight="1" x14ac:dyDescent="0.2"/>
    <row r="444" s="51" customFormat="1" ht="13.5" customHeight="1" x14ac:dyDescent="0.2"/>
    <row r="445" s="51" customFormat="1" ht="13.5" customHeight="1" x14ac:dyDescent="0.2"/>
    <row r="446" s="51" customFormat="1" ht="13.5" customHeight="1" x14ac:dyDescent="0.2"/>
    <row r="447" s="51" customFormat="1" ht="13.5" customHeight="1" x14ac:dyDescent="0.2"/>
    <row r="448" s="51" customFormat="1" ht="13.5" customHeight="1" x14ac:dyDescent="0.2"/>
    <row r="449" s="51" customFormat="1" ht="13.5" customHeight="1" x14ac:dyDescent="0.2"/>
    <row r="450" s="51" customFormat="1" ht="13.5" customHeight="1" x14ac:dyDescent="0.2"/>
    <row r="451" s="51" customFormat="1" ht="13.5" customHeight="1" x14ac:dyDescent="0.2"/>
    <row r="452" s="51" customFormat="1" ht="13.5" customHeight="1" x14ac:dyDescent="0.2"/>
    <row r="453" s="51" customFormat="1" ht="13.5" customHeight="1" x14ac:dyDescent="0.2"/>
    <row r="454" s="51" customFormat="1" ht="13.5" customHeight="1" x14ac:dyDescent="0.2"/>
    <row r="455" s="51" customFormat="1" ht="13.5" customHeight="1" x14ac:dyDescent="0.2"/>
    <row r="456" s="51" customFormat="1" ht="13.5" customHeight="1" x14ac:dyDescent="0.2"/>
    <row r="457" s="51" customFormat="1" ht="13.5" customHeight="1" x14ac:dyDescent="0.2"/>
    <row r="458" s="51" customFormat="1" ht="13.5" customHeight="1" x14ac:dyDescent="0.2"/>
    <row r="459" s="51" customFormat="1" ht="13.5" customHeight="1" x14ac:dyDescent="0.2"/>
    <row r="460" s="51" customFormat="1" ht="13.5" customHeight="1" x14ac:dyDescent="0.2"/>
    <row r="461" s="51" customFormat="1" ht="13.5" customHeight="1" x14ac:dyDescent="0.2"/>
    <row r="462" s="51" customFormat="1" ht="13.5" customHeight="1" x14ac:dyDescent="0.2"/>
    <row r="463" s="51" customFormat="1" ht="13.5" customHeight="1" x14ac:dyDescent="0.2"/>
    <row r="464" s="51" customFormat="1" ht="13.5" customHeight="1" x14ac:dyDescent="0.2"/>
    <row r="465" s="51" customFormat="1" ht="13.5" customHeight="1" x14ac:dyDescent="0.2"/>
    <row r="466" s="51" customFormat="1" ht="13.5" customHeight="1" x14ac:dyDescent="0.2"/>
    <row r="467" s="51" customFormat="1" ht="13.5" customHeight="1" x14ac:dyDescent="0.2"/>
    <row r="468" s="51" customFormat="1" ht="13.5" customHeight="1" x14ac:dyDescent="0.2"/>
    <row r="469" s="51" customFormat="1" ht="13.5" customHeight="1" x14ac:dyDescent="0.2"/>
    <row r="470" s="51" customFormat="1" ht="13.5" customHeight="1" x14ac:dyDescent="0.2"/>
    <row r="471" s="51" customFormat="1" ht="13.5" customHeight="1" x14ac:dyDescent="0.2"/>
    <row r="472" s="51" customFormat="1" ht="13.5" customHeight="1" x14ac:dyDescent="0.2"/>
    <row r="473" s="51" customFormat="1" ht="13.5" customHeight="1" x14ac:dyDescent="0.2"/>
    <row r="474" s="51" customFormat="1" ht="13.5" customHeight="1" x14ac:dyDescent="0.2"/>
    <row r="475" s="51" customFormat="1" ht="13.5" customHeight="1" x14ac:dyDescent="0.2"/>
    <row r="476" s="51" customFormat="1" ht="13.5" customHeight="1" x14ac:dyDescent="0.2"/>
    <row r="477" s="51" customFormat="1" ht="13.5" customHeight="1" x14ac:dyDescent="0.2"/>
    <row r="478" s="51" customFormat="1" ht="13.5" customHeight="1" x14ac:dyDescent="0.2"/>
    <row r="479" s="51" customFormat="1" ht="13.5" customHeight="1" x14ac:dyDescent="0.2"/>
    <row r="480" s="51" customFormat="1" ht="13.5" customHeight="1" x14ac:dyDescent="0.2"/>
    <row r="481" s="51" customFormat="1" ht="13.5" customHeight="1" x14ac:dyDescent="0.2"/>
    <row r="482" s="51" customFormat="1" ht="13.5" customHeight="1" x14ac:dyDescent="0.2"/>
    <row r="483" s="51" customFormat="1" ht="13.5" customHeight="1" x14ac:dyDescent="0.2"/>
    <row r="484" s="51" customFormat="1" ht="13.5" customHeight="1" x14ac:dyDescent="0.2"/>
    <row r="485" s="51" customFormat="1" ht="13.5" customHeight="1" x14ac:dyDescent="0.2"/>
    <row r="486" s="51" customFormat="1" ht="13.5" customHeight="1" x14ac:dyDescent="0.2"/>
    <row r="487" s="51" customFormat="1" ht="13.5" customHeight="1" x14ac:dyDescent="0.2"/>
    <row r="488" s="51" customFormat="1" ht="13.5" customHeight="1" x14ac:dyDescent="0.2"/>
    <row r="489" s="51" customFormat="1" ht="13.5" customHeight="1" x14ac:dyDescent="0.2"/>
    <row r="490" s="51" customFormat="1" ht="13.5" customHeight="1" x14ac:dyDescent="0.2"/>
    <row r="491" s="51" customFormat="1" ht="13.5" customHeight="1" x14ac:dyDescent="0.2"/>
    <row r="492" s="51" customFormat="1" ht="13.5" customHeight="1" x14ac:dyDescent="0.2"/>
    <row r="493" s="51" customFormat="1" ht="13.5" customHeight="1" x14ac:dyDescent="0.2"/>
    <row r="494" s="51" customFormat="1" ht="13.5" customHeight="1" x14ac:dyDescent="0.2"/>
    <row r="495" s="51" customFormat="1" ht="13.5" customHeight="1" x14ac:dyDescent="0.2"/>
    <row r="496" s="51" customFormat="1" ht="13.5" customHeight="1" x14ac:dyDescent="0.2"/>
    <row r="497" s="51" customFormat="1" ht="13.5" customHeight="1" x14ac:dyDescent="0.2"/>
    <row r="498" s="51" customFormat="1" ht="13.5" customHeight="1" x14ac:dyDescent="0.2"/>
    <row r="499" s="51" customFormat="1" ht="13.5" customHeight="1" x14ac:dyDescent="0.2"/>
    <row r="500" s="51" customFormat="1" ht="13.5" customHeight="1" x14ac:dyDescent="0.2"/>
    <row r="501" s="51" customFormat="1" ht="13.5" customHeight="1" x14ac:dyDescent="0.2"/>
    <row r="502" s="51" customFormat="1" ht="13.5" customHeight="1" x14ac:dyDescent="0.2"/>
    <row r="503" s="51" customFormat="1" ht="13.5" customHeight="1" x14ac:dyDescent="0.2"/>
    <row r="504" s="51" customFormat="1" ht="13.5" customHeight="1" x14ac:dyDescent="0.2"/>
    <row r="505" s="51" customFormat="1" ht="13.5" customHeight="1" x14ac:dyDescent="0.2"/>
    <row r="506" s="51" customFormat="1" ht="13.5" customHeight="1" x14ac:dyDescent="0.2"/>
    <row r="507" s="51" customFormat="1" ht="13.5" customHeight="1" x14ac:dyDescent="0.2"/>
    <row r="508" s="51" customFormat="1" ht="13.5" customHeight="1" x14ac:dyDescent="0.2"/>
    <row r="509" s="51" customFormat="1" ht="13.5" customHeight="1" x14ac:dyDescent="0.2"/>
    <row r="510" s="51" customFormat="1" ht="13.5" customHeight="1" x14ac:dyDescent="0.2"/>
    <row r="511" s="51" customFormat="1" ht="13.5" customHeight="1" x14ac:dyDescent="0.2"/>
    <row r="512" s="51" customFormat="1" ht="13.5" customHeight="1" x14ac:dyDescent="0.2"/>
    <row r="513" s="51" customFormat="1" ht="13.5" customHeight="1" x14ac:dyDescent="0.2"/>
    <row r="514" s="51" customFormat="1" ht="13.5" customHeight="1" x14ac:dyDescent="0.2"/>
    <row r="515" s="51" customFormat="1" ht="13.5" customHeight="1" x14ac:dyDescent="0.2"/>
    <row r="516" s="51" customFormat="1" ht="13.5" customHeight="1" x14ac:dyDescent="0.2"/>
    <row r="517" s="51" customFormat="1" ht="13.5" customHeight="1" x14ac:dyDescent="0.2"/>
    <row r="518" s="51" customFormat="1" ht="13.5" customHeight="1" x14ac:dyDescent="0.2"/>
    <row r="519" s="51" customFormat="1" ht="13.5" customHeight="1" x14ac:dyDescent="0.2"/>
    <row r="520" s="51" customFormat="1" ht="13.5" customHeight="1" x14ac:dyDescent="0.2"/>
    <row r="521" s="51" customFormat="1" ht="13.5" customHeight="1" x14ac:dyDescent="0.2"/>
    <row r="522" s="51" customFormat="1" ht="13.5" customHeight="1" x14ac:dyDescent="0.2"/>
    <row r="523" s="51" customFormat="1" ht="13.5" customHeight="1" x14ac:dyDescent="0.2"/>
    <row r="524" s="51" customFormat="1" ht="13.5" customHeight="1" x14ac:dyDescent="0.2"/>
    <row r="525" s="51" customFormat="1" ht="13.5" customHeight="1" x14ac:dyDescent="0.2"/>
    <row r="526" s="51" customFormat="1" ht="13.5" customHeight="1" x14ac:dyDescent="0.2"/>
    <row r="527" s="51" customFormat="1" ht="13.5" customHeight="1" x14ac:dyDescent="0.2"/>
    <row r="528" s="51" customFormat="1" ht="13.5" customHeight="1" x14ac:dyDescent="0.2"/>
    <row r="529" s="51" customFormat="1" ht="13.5" customHeight="1" x14ac:dyDescent="0.2"/>
    <row r="530" s="51" customFormat="1" ht="13.5" customHeight="1" x14ac:dyDescent="0.2"/>
    <row r="531" s="51" customFormat="1" ht="13.5" customHeight="1" x14ac:dyDescent="0.2"/>
    <row r="532" s="51" customFormat="1" ht="13.5" customHeight="1" x14ac:dyDescent="0.2"/>
    <row r="533" s="51" customFormat="1" ht="13.5" customHeight="1" x14ac:dyDescent="0.2"/>
    <row r="534" s="51" customFormat="1" ht="13.5" customHeight="1" x14ac:dyDescent="0.2"/>
    <row r="535" s="51" customFormat="1" ht="13.5" customHeight="1" x14ac:dyDescent="0.2"/>
    <row r="536" s="51" customFormat="1" ht="13.5" customHeight="1" x14ac:dyDescent="0.2"/>
    <row r="537" s="51" customFormat="1" ht="13.5" customHeight="1" x14ac:dyDescent="0.2"/>
    <row r="538" s="51" customFormat="1" ht="13.5" customHeight="1" x14ac:dyDescent="0.2"/>
    <row r="539" s="51" customFormat="1" ht="13.5" customHeight="1" x14ac:dyDescent="0.2"/>
    <row r="540" s="51" customFormat="1" ht="13.5" customHeight="1" x14ac:dyDescent="0.2"/>
    <row r="541" s="51" customFormat="1" ht="13.5" customHeight="1" x14ac:dyDescent="0.2"/>
    <row r="542" s="51" customFormat="1" ht="13.5" customHeight="1" x14ac:dyDescent="0.2"/>
    <row r="543" s="51" customFormat="1" ht="13.5" customHeight="1" x14ac:dyDescent="0.2"/>
    <row r="544" s="51" customFormat="1" ht="13.5" customHeight="1" x14ac:dyDescent="0.2"/>
    <row r="545" s="51" customFormat="1" ht="13.5" customHeight="1" x14ac:dyDescent="0.2"/>
    <row r="546" s="51" customFormat="1" ht="13.5" customHeight="1" x14ac:dyDescent="0.2"/>
    <row r="547" s="51" customFormat="1" ht="13.5" customHeight="1" x14ac:dyDescent="0.2"/>
    <row r="548" s="51" customFormat="1" ht="13.5" customHeight="1" x14ac:dyDescent="0.2"/>
    <row r="549" s="51" customFormat="1" ht="13.5" customHeight="1" x14ac:dyDescent="0.2"/>
    <row r="550" s="51" customFormat="1" ht="13.5" customHeight="1" x14ac:dyDescent="0.2"/>
    <row r="551" s="51" customFormat="1" ht="13.5" customHeight="1" x14ac:dyDescent="0.2"/>
    <row r="552" s="51" customFormat="1" ht="13.5" customHeight="1" x14ac:dyDescent="0.2"/>
    <row r="553" s="51" customFormat="1" ht="13.5" customHeight="1" x14ac:dyDescent="0.2"/>
    <row r="554" s="51" customFormat="1" ht="13.5" customHeight="1" x14ac:dyDescent="0.2"/>
    <row r="555" s="51" customFormat="1" ht="13.5" customHeight="1" x14ac:dyDescent="0.2"/>
    <row r="556" s="51" customFormat="1" ht="13.5" customHeight="1" x14ac:dyDescent="0.2"/>
    <row r="557" s="51" customFormat="1" ht="13.5" customHeight="1" x14ac:dyDescent="0.2"/>
    <row r="558" s="51" customFormat="1" ht="13.5" customHeight="1" x14ac:dyDescent="0.2"/>
    <row r="559" s="51" customFormat="1" ht="13.5" customHeight="1" x14ac:dyDescent="0.2"/>
    <row r="560" s="51" customFormat="1" ht="13.5" customHeight="1" x14ac:dyDescent="0.2"/>
    <row r="561" s="51" customFormat="1" ht="13.5" customHeight="1" x14ac:dyDescent="0.2"/>
    <row r="562" s="51" customFormat="1" ht="13.5" customHeight="1" x14ac:dyDescent="0.2"/>
    <row r="563" s="51" customFormat="1" ht="13.5" customHeight="1" x14ac:dyDescent="0.2"/>
    <row r="564" s="51" customFormat="1" ht="13.5" customHeight="1" x14ac:dyDescent="0.2"/>
    <row r="565" s="51" customFormat="1" ht="13.5" customHeight="1" x14ac:dyDescent="0.2"/>
    <row r="566" s="51" customFormat="1" ht="13.5" customHeight="1" x14ac:dyDescent="0.2"/>
    <row r="567" s="51" customFormat="1" ht="13.5" customHeight="1" x14ac:dyDescent="0.2"/>
    <row r="568" s="51" customFormat="1" ht="13.5" customHeight="1" x14ac:dyDescent="0.2"/>
    <row r="569" s="51" customFormat="1" ht="13.5" customHeight="1" x14ac:dyDescent="0.2"/>
    <row r="570" s="51" customFormat="1" ht="13.5" customHeight="1" x14ac:dyDescent="0.2"/>
    <row r="571" s="51" customFormat="1" ht="13.5" customHeight="1" x14ac:dyDescent="0.2"/>
    <row r="572" s="51" customFormat="1" ht="13.5" customHeight="1" x14ac:dyDescent="0.2"/>
    <row r="573" s="51" customFormat="1" ht="13.5" customHeight="1" x14ac:dyDescent="0.2"/>
    <row r="574" s="51" customFormat="1" ht="13.5" customHeight="1" x14ac:dyDescent="0.2"/>
    <row r="575" s="51" customFormat="1" ht="13.5" customHeight="1" x14ac:dyDescent="0.2"/>
    <row r="576" s="51" customFormat="1" ht="13.5" customHeight="1" x14ac:dyDescent="0.2"/>
    <row r="577" s="51" customFormat="1" ht="13.5" customHeight="1" x14ac:dyDescent="0.2"/>
    <row r="578" s="51" customFormat="1" ht="13.5" customHeight="1" x14ac:dyDescent="0.2"/>
    <row r="579" s="51" customFormat="1" ht="13.5" customHeight="1" x14ac:dyDescent="0.2"/>
    <row r="580" s="51" customFormat="1" ht="13.5" customHeight="1" x14ac:dyDescent="0.2"/>
    <row r="581" s="51" customFormat="1" ht="13.5" customHeight="1" x14ac:dyDescent="0.2"/>
    <row r="582" s="51" customFormat="1" ht="13.5" customHeight="1" x14ac:dyDescent="0.2"/>
    <row r="583" s="51" customFormat="1" ht="13.5" customHeight="1" x14ac:dyDescent="0.2"/>
    <row r="584" s="51" customFormat="1" ht="13.5" customHeight="1" x14ac:dyDescent="0.2"/>
    <row r="585" s="51" customFormat="1" ht="13.5" customHeight="1" x14ac:dyDescent="0.2"/>
    <row r="586" s="51" customFormat="1" ht="13.5" customHeight="1" x14ac:dyDescent="0.2"/>
    <row r="587" s="51" customFormat="1" ht="13.5" customHeight="1" x14ac:dyDescent="0.2"/>
    <row r="588" s="51" customFormat="1" ht="13.5" customHeight="1" x14ac:dyDescent="0.2"/>
    <row r="589" s="51" customFormat="1" ht="13.5" customHeight="1" x14ac:dyDescent="0.2"/>
    <row r="590" s="51" customFormat="1" ht="13.5" customHeight="1" x14ac:dyDescent="0.2"/>
    <row r="591" s="51" customFormat="1" ht="13.5" customHeight="1" x14ac:dyDescent="0.2"/>
    <row r="592" s="51" customFormat="1" ht="13.5" customHeight="1" x14ac:dyDescent="0.2"/>
    <row r="593" s="51" customFormat="1" ht="13.5" customHeight="1" x14ac:dyDescent="0.2"/>
    <row r="594" s="51" customFormat="1" ht="13.5" customHeight="1" x14ac:dyDescent="0.2"/>
    <row r="595" s="51" customFormat="1" ht="13.5" customHeight="1" x14ac:dyDescent="0.2"/>
    <row r="596" s="51" customFormat="1" ht="13.5" customHeight="1" x14ac:dyDescent="0.2"/>
    <row r="597" s="51" customFormat="1" ht="13.5" customHeight="1" x14ac:dyDescent="0.2"/>
    <row r="598" s="51" customFormat="1" ht="13.5" customHeight="1" x14ac:dyDescent="0.2"/>
    <row r="599" s="51" customFormat="1" ht="13.5" customHeight="1" x14ac:dyDescent="0.2"/>
    <row r="600" s="51" customFormat="1" ht="13.5" customHeight="1" x14ac:dyDescent="0.2"/>
    <row r="601" s="51" customFormat="1" ht="13.5" customHeight="1" x14ac:dyDescent="0.2"/>
    <row r="602" s="51" customFormat="1" ht="13.5" customHeight="1" x14ac:dyDescent="0.2"/>
    <row r="603" s="51" customFormat="1" ht="13.5" customHeight="1" x14ac:dyDescent="0.2"/>
    <row r="604" s="51" customFormat="1" ht="13.5" customHeight="1" x14ac:dyDescent="0.2"/>
    <row r="605" s="51" customFormat="1" ht="13.5" customHeight="1" x14ac:dyDescent="0.2"/>
    <row r="606" s="51" customFormat="1" ht="13.5" customHeight="1" x14ac:dyDescent="0.2"/>
    <row r="607" s="51" customFormat="1" ht="13.5" customHeight="1" x14ac:dyDescent="0.2"/>
    <row r="608" s="51" customFormat="1" ht="13.5" customHeight="1" x14ac:dyDescent="0.2"/>
    <row r="609" s="51" customFormat="1" ht="13.5" customHeight="1" x14ac:dyDescent="0.2"/>
    <row r="610" s="51" customFormat="1" ht="13.5" customHeight="1" x14ac:dyDescent="0.2"/>
    <row r="611" s="51" customFormat="1" ht="13.5" customHeight="1" x14ac:dyDescent="0.2"/>
    <row r="612" s="51" customFormat="1" ht="13.5" customHeight="1" x14ac:dyDescent="0.2"/>
    <row r="613" s="51" customFormat="1" ht="13.5" customHeight="1" x14ac:dyDescent="0.2"/>
    <row r="614" s="51" customFormat="1" ht="13.5" customHeight="1" x14ac:dyDescent="0.2"/>
    <row r="615" s="51" customFormat="1" ht="13.5" customHeight="1" x14ac:dyDescent="0.2"/>
    <row r="616" s="51" customFormat="1" ht="13.5" customHeight="1" x14ac:dyDescent="0.2"/>
    <row r="617" s="51" customFormat="1" ht="13.5" customHeight="1" x14ac:dyDescent="0.2"/>
    <row r="618" s="51" customFormat="1" ht="13.5" customHeight="1" x14ac:dyDescent="0.2"/>
    <row r="619" s="51" customFormat="1" ht="13.5" customHeight="1" x14ac:dyDescent="0.2"/>
    <row r="620" s="51" customFormat="1" ht="13.5" customHeight="1" x14ac:dyDescent="0.2"/>
    <row r="621" s="51" customFormat="1" ht="13.5" customHeight="1" x14ac:dyDescent="0.2"/>
    <row r="622" s="51" customFormat="1" ht="13.5" customHeight="1" x14ac:dyDescent="0.2"/>
    <row r="623" s="51" customFormat="1" ht="13.5" customHeight="1" x14ac:dyDescent="0.2"/>
    <row r="624" s="51" customFormat="1" ht="13.5" customHeight="1" x14ac:dyDescent="0.2"/>
    <row r="625" s="51" customFormat="1" ht="13.5" customHeight="1" x14ac:dyDescent="0.2"/>
    <row r="626" s="51" customFormat="1" ht="13.5" customHeight="1" x14ac:dyDescent="0.2"/>
    <row r="627" s="51" customFormat="1" ht="13.5" customHeight="1" x14ac:dyDescent="0.2"/>
    <row r="628" s="51" customFormat="1" ht="13.5" customHeight="1" x14ac:dyDescent="0.2"/>
    <row r="629" s="51" customFormat="1" ht="13.5" customHeight="1" x14ac:dyDescent="0.2"/>
    <row r="630" s="51" customFormat="1" ht="13.5" customHeight="1" x14ac:dyDescent="0.2"/>
    <row r="631" s="51" customFormat="1" ht="13.5" customHeight="1" x14ac:dyDescent="0.2"/>
    <row r="632" s="51" customFormat="1" ht="13.5" customHeight="1" x14ac:dyDescent="0.2"/>
    <row r="633" s="51" customFormat="1" ht="13.5" customHeight="1" x14ac:dyDescent="0.2"/>
    <row r="634" s="51" customFormat="1" ht="13.5" customHeight="1" x14ac:dyDescent="0.2"/>
    <row r="635" s="51" customFormat="1" ht="13.5" customHeight="1" x14ac:dyDescent="0.2"/>
    <row r="636" s="51" customFormat="1" ht="13.5" customHeight="1" x14ac:dyDescent="0.2"/>
    <row r="637" s="51" customFormat="1" ht="13.5" customHeight="1" x14ac:dyDescent="0.2"/>
    <row r="638" s="51" customFormat="1" ht="13.5" customHeight="1" x14ac:dyDescent="0.2"/>
    <row r="639" s="51" customFormat="1" ht="13.5" customHeight="1" x14ac:dyDescent="0.2"/>
    <row r="640" s="51" customFormat="1" ht="13.5" customHeight="1" x14ac:dyDescent="0.2"/>
    <row r="641" s="51" customFormat="1" ht="13.5" customHeight="1" x14ac:dyDescent="0.2"/>
    <row r="642" s="51" customFormat="1" ht="13.5" customHeight="1" x14ac:dyDescent="0.2"/>
    <row r="643" s="51" customFormat="1" ht="13.5" customHeight="1" x14ac:dyDescent="0.2"/>
    <row r="644" s="51" customFormat="1" ht="13.5" customHeight="1" x14ac:dyDescent="0.2"/>
    <row r="645" s="51" customFormat="1" ht="13.5" customHeight="1" x14ac:dyDescent="0.2"/>
    <row r="646" s="51" customFormat="1" ht="13.5" customHeight="1" x14ac:dyDescent="0.2"/>
    <row r="647" s="51" customFormat="1" ht="13.5" customHeight="1" x14ac:dyDescent="0.2"/>
    <row r="648" s="51" customFormat="1" ht="13.5" customHeight="1" x14ac:dyDescent="0.2"/>
    <row r="649" s="51" customFormat="1" ht="13.5" customHeight="1" x14ac:dyDescent="0.2"/>
    <row r="650" s="51" customFormat="1" ht="13.5" customHeight="1" x14ac:dyDescent="0.2"/>
    <row r="651" s="51" customFormat="1" ht="13.5" customHeight="1" x14ac:dyDescent="0.2"/>
    <row r="652" s="51" customFormat="1" ht="13.5" customHeight="1" x14ac:dyDescent="0.2"/>
    <row r="653" s="51" customFormat="1" ht="13.5" customHeight="1" x14ac:dyDescent="0.2"/>
    <row r="654" s="51" customFormat="1" ht="13.5" customHeight="1" x14ac:dyDescent="0.2"/>
    <row r="655" s="51" customFormat="1" ht="13.5" customHeight="1" x14ac:dyDescent="0.2"/>
    <row r="656" s="51" customFormat="1" ht="13.5" customHeight="1" x14ac:dyDescent="0.2"/>
    <row r="657" s="51" customFormat="1" ht="13.5" customHeight="1" x14ac:dyDescent="0.2"/>
    <row r="658" s="51" customFormat="1" ht="13.5" customHeight="1" x14ac:dyDescent="0.2"/>
    <row r="659" s="51" customFormat="1" ht="13.5" customHeight="1" x14ac:dyDescent="0.2"/>
    <row r="660" s="51" customFormat="1" ht="13.5" customHeight="1" x14ac:dyDescent="0.2"/>
    <row r="661" s="51" customFormat="1" ht="13.5" customHeight="1" x14ac:dyDescent="0.2"/>
    <row r="662" s="51" customFormat="1" ht="13.5" customHeight="1" x14ac:dyDescent="0.2"/>
    <row r="663" s="51" customFormat="1" ht="13.5" customHeight="1" x14ac:dyDescent="0.2"/>
    <row r="664" s="51" customFormat="1" ht="13.5" customHeight="1" x14ac:dyDescent="0.2"/>
    <row r="665" s="51" customFormat="1" ht="13.5" customHeight="1" x14ac:dyDescent="0.2"/>
    <row r="666" s="51" customFormat="1" ht="13.5" customHeight="1" x14ac:dyDescent="0.2"/>
    <row r="667" s="51" customFormat="1" ht="13.5" customHeight="1" x14ac:dyDescent="0.2"/>
    <row r="668" s="51" customFormat="1" ht="13.5" customHeight="1" x14ac:dyDescent="0.2"/>
    <row r="669" s="51" customFormat="1" ht="13.5" customHeight="1" x14ac:dyDescent="0.2"/>
    <row r="670" s="51" customFormat="1" ht="13.5" customHeight="1" x14ac:dyDescent="0.2"/>
    <row r="671" s="51" customFormat="1" ht="13.5" customHeight="1" x14ac:dyDescent="0.2"/>
    <row r="672" s="51" customFormat="1" ht="13.5" customHeight="1" x14ac:dyDescent="0.2"/>
    <row r="673" s="51" customFormat="1" ht="13.5" customHeight="1" x14ac:dyDescent="0.2"/>
    <row r="674" s="51" customFormat="1" ht="13.5" customHeight="1" x14ac:dyDescent="0.2"/>
    <row r="675" s="51" customFormat="1" ht="13.5" customHeight="1" x14ac:dyDescent="0.2"/>
    <row r="676" s="51" customFormat="1" ht="13.5" customHeight="1" x14ac:dyDescent="0.2"/>
    <row r="677" s="51" customFormat="1" ht="13.5" customHeight="1" x14ac:dyDescent="0.2"/>
    <row r="678" s="51" customFormat="1" ht="13.5" customHeight="1" x14ac:dyDescent="0.2"/>
    <row r="679" s="51" customFormat="1" ht="13.5" customHeight="1" x14ac:dyDescent="0.2"/>
    <row r="680" s="51" customFormat="1" ht="13.5" customHeight="1" x14ac:dyDescent="0.2"/>
    <row r="681" s="51" customFormat="1" ht="13.5" customHeight="1" x14ac:dyDescent="0.2"/>
    <row r="682" s="51" customFormat="1" ht="13.5" customHeight="1" x14ac:dyDescent="0.2"/>
    <row r="683" s="51" customFormat="1" ht="13.5" customHeight="1" x14ac:dyDescent="0.2"/>
    <row r="684" s="51" customFormat="1" ht="13.5" customHeight="1" x14ac:dyDescent="0.2"/>
    <row r="685" s="51" customFormat="1" ht="13.5" customHeight="1" x14ac:dyDescent="0.2"/>
    <row r="686" s="51" customFormat="1" ht="13.5" customHeight="1" x14ac:dyDescent="0.2"/>
    <row r="687" s="51" customFormat="1" ht="13.5" customHeight="1" x14ac:dyDescent="0.2"/>
    <row r="688" s="51" customFormat="1" ht="13.5" customHeight="1" x14ac:dyDescent="0.2"/>
    <row r="689" s="51" customFormat="1" ht="13.5" customHeight="1" x14ac:dyDescent="0.2"/>
    <row r="690" s="51" customFormat="1" ht="13.5" customHeight="1" x14ac:dyDescent="0.2"/>
    <row r="691" s="51" customFormat="1" ht="13.5" customHeight="1" x14ac:dyDescent="0.2"/>
    <row r="692" s="51" customFormat="1" ht="13.5" customHeight="1" x14ac:dyDescent="0.2"/>
    <row r="693" s="51" customFormat="1" ht="13.5" customHeight="1" x14ac:dyDescent="0.2"/>
    <row r="694" s="51" customFormat="1" ht="13.5" customHeight="1" x14ac:dyDescent="0.2"/>
    <row r="695" s="51" customFormat="1" ht="13.5" customHeight="1" x14ac:dyDescent="0.2"/>
    <row r="696" s="51" customFormat="1" ht="13.5" customHeight="1" x14ac:dyDescent="0.2"/>
    <row r="697" s="51" customFormat="1" ht="13.5" customHeight="1" x14ac:dyDescent="0.2"/>
    <row r="698" s="51" customFormat="1" ht="13.5" customHeight="1" x14ac:dyDescent="0.2"/>
    <row r="699" s="51" customFormat="1" ht="13.5" customHeight="1" x14ac:dyDescent="0.2"/>
    <row r="700" s="51" customFormat="1" ht="13.5" customHeight="1" x14ac:dyDescent="0.2"/>
    <row r="701" s="51" customFormat="1" ht="13.5" customHeight="1" x14ac:dyDescent="0.2"/>
    <row r="702" s="51" customFormat="1" ht="13.5" customHeight="1" x14ac:dyDescent="0.2"/>
    <row r="703" s="51" customFormat="1" ht="13.5" customHeight="1" x14ac:dyDescent="0.2"/>
    <row r="704" s="51" customFormat="1" ht="13.5" customHeight="1" x14ac:dyDescent="0.2"/>
    <row r="705" s="51" customFormat="1" ht="13.5" customHeight="1" x14ac:dyDescent="0.2"/>
    <row r="706" s="51" customFormat="1" ht="13.5" customHeight="1" x14ac:dyDescent="0.2"/>
    <row r="707" s="51" customFormat="1" ht="13.5" customHeight="1" x14ac:dyDescent="0.2"/>
    <row r="708" s="51" customFormat="1" ht="13.5" customHeight="1" x14ac:dyDescent="0.2"/>
    <row r="709" s="51" customFormat="1" ht="13.5" customHeight="1" x14ac:dyDescent="0.2"/>
    <row r="710" s="51" customFormat="1" ht="13.5" customHeight="1" x14ac:dyDescent="0.2"/>
    <row r="711" s="51" customFormat="1" ht="13.5" customHeight="1" x14ac:dyDescent="0.2"/>
    <row r="712" s="51" customFormat="1" ht="13.5" customHeight="1" x14ac:dyDescent="0.2"/>
    <row r="713" s="51" customFormat="1" ht="13.5" customHeight="1" x14ac:dyDescent="0.2"/>
    <row r="714" s="51" customFormat="1" ht="13.5" customHeight="1" x14ac:dyDescent="0.2"/>
    <row r="715" s="51" customFormat="1" ht="13.5" customHeight="1" x14ac:dyDescent="0.2"/>
    <row r="716" s="51" customFormat="1" ht="13.5" customHeight="1" x14ac:dyDescent="0.2"/>
    <row r="717" s="51" customFormat="1" ht="13.5" customHeight="1" x14ac:dyDescent="0.2"/>
    <row r="718" s="51" customFormat="1" ht="13.5" customHeight="1" x14ac:dyDescent="0.2"/>
    <row r="719" s="51" customFormat="1" ht="13.5" customHeight="1" x14ac:dyDescent="0.2"/>
    <row r="720" s="51" customFormat="1" ht="13.5" customHeight="1" x14ac:dyDescent="0.2"/>
    <row r="721" s="51" customFormat="1" ht="13.5" customHeight="1" x14ac:dyDescent="0.2"/>
    <row r="722" s="51" customFormat="1" ht="13.5" customHeight="1" x14ac:dyDescent="0.2"/>
    <row r="723" s="51" customFormat="1" ht="13.5" customHeight="1" x14ac:dyDescent="0.2"/>
    <row r="724" s="51" customFormat="1" ht="13.5" customHeight="1" x14ac:dyDescent="0.2"/>
    <row r="725" s="51" customFormat="1" ht="13.5" customHeight="1" x14ac:dyDescent="0.2"/>
    <row r="726" s="51" customFormat="1" ht="13.5" customHeight="1" x14ac:dyDescent="0.2"/>
    <row r="727" s="51" customFormat="1" ht="13.5" customHeight="1" x14ac:dyDescent="0.2"/>
    <row r="728" s="51" customFormat="1" ht="13.5" customHeight="1" x14ac:dyDescent="0.2"/>
    <row r="729" s="51" customFormat="1" ht="13.5" customHeight="1" x14ac:dyDescent="0.2"/>
    <row r="730" s="51" customFormat="1" ht="13.5" customHeight="1" x14ac:dyDescent="0.2"/>
    <row r="731" s="51" customFormat="1" ht="13.5" customHeight="1" x14ac:dyDescent="0.2"/>
    <row r="732" s="51" customFormat="1" ht="13.5" customHeight="1" x14ac:dyDescent="0.2"/>
    <row r="733" s="51" customFormat="1" ht="13.5" customHeight="1" x14ac:dyDescent="0.2"/>
    <row r="734" s="51" customFormat="1" ht="13.5" customHeight="1" x14ac:dyDescent="0.2"/>
    <row r="735" s="51" customFormat="1" ht="13.5" customHeight="1" x14ac:dyDescent="0.2"/>
    <row r="736" s="51" customFormat="1" ht="13.5" customHeight="1" x14ac:dyDescent="0.2"/>
    <row r="737" s="51" customFormat="1" ht="13.5" customHeight="1" x14ac:dyDescent="0.2"/>
    <row r="738" s="51" customFormat="1" ht="13.5" customHeight="1" x14ac:dyDescent="0.2"/>
    <row r="739" s="51" customFormat="1" ht="13.5" customHeight="1" x14ac:dyDescent="0.2"/>
    <row r="740" s="51" customFormat="1" ht="13.5" customHeight="1" x14ac:dyDescent="0.2"/>
    <row r="741" s="51" customFormat="1" ht="13.5" customHeight="1" x14ac:dyDescent="0.2"/>
    <row r="742" s="51" customFormat="1" ht="13.5" customHeight="1" x14ac:dyDescent="0.2"/>
    <row r="743" s="51" customFormat="1" ht="13.5" customHeight="1" x14ac:dyDescent="0.2"/>
    <row r="744" s="51" customFormat="1" ht="13.5" customHeight="1" x14ac:dyDescent="0.2"/>
    <row r="745" s="51" customFormat="1" ht="13.5" customHeight="1" x14ac:dyDescent="0.2"/>
    <row r="746" s="51" customFormat="1" ht="13.5" customHeight="1" x14ac:dyDescent="0.2"/>
    <row r="747" s="51" customFormat="1" ht="13.5" customHeight="1" x14ac:dyDescent="0.2"/>
    <row r="748" s="51" customFormat="1" ht="13.5" customHeight="1" x14ac:dyDescent="0.2"/>
    <row r="749" s="51" customFormat="1" ht="13.5" customHeight="1" x14ac:dyDescent="0.2"/>
    <row r="750" s="51" customFormat="1" ht="13.5" customHeight="1" x14ac:dyDescent="0.2"/>
    <row r="751" s="51" customFormat="1" ht="13.5" customHeight="1" x14ac:dyDescent="0.2"/>
    <row r="752" s="51" customFormat="1" ht="13.5" customHeight="1" x14ac:dyDescent="0.2"/>
    <row r="753" s="51" customFormat="1" ht="13.5" customHeight="1" x14ac:dyDescent="0.2"/>
    <row r="754" s="51" customFormat="1" ht="13.5" customHeight="1" x14ac:dyDescent="0.2"/>
    <row r="755" s="51" customFormat="1" ht="13.5" customHeight="1" x14ac:dyDescent="0.2"/>
    <row r="756" s="51" customFormat="1" ht="13.5" customHeight="1" x14ac:dyDescent="0.2"/>
    <row r="757" s="51" customFormat="1" ht="13.5" customHeight="1" x14ac:dyDescent="0.2"/>
    <row r="758" s="51" customFormat="1" ht="13.5" customHeight="1" x14ac:dyDescent="0.2"/>
    <row r="759" s="51" customFormat="1" ht="13.5" customHeight="1" x14ac:dyDescent="0.2"/>
    <row r="760" s="51" customFormat="1" ht="13.5" customHeight="1" x14ac:dyDescent="0.2"/>
    <row r="761" s="51" customFormat="1" ht="13.5" customHeight="1" x14ac:dyDescent="0.2"/>
    <row r="762" s="51" customFormat="1" ht="13.5" customHeight="1" x14ac:dyDescent="0.2"/>
    <row r="763" s="51" customFormat="1" ht="13.5" customHeight="1" x14ac:dyDescent="0.2"/>
    <row r="764" s="51" customFormat="1" ht="13.5" customHeight="1" x14ac:dyDescent="0.2"/>
    <row r="765" s="51" customFormat="1" ht="13.5" customHeight="1" x14ac:dyDescent="0.2"/>
    <row r="766" s="51" customFormat="1" ht="13.5" customHeight="1" x14ac:dyDescent="0.2"/>
    <row r="767" s="51" customFormat="1" ht="13.5" customHeight="1" x14ac:dyDescent="0.2"/>
    <row r="768" s="51" customFormat="1" ht="13.5" customHeight="1" x14ac:dyDescent="0.2"/>
    <row r="769" s="51" customFormat="1" ht="13.5" customHeight="1" x14ac:dyDescent="0.2"/>
    <row r="770" s="51" customFormat="1" ht="13.5" customHeight="1" x14ac:dyDescent="0.2"/>
    <row r="771" s="51" customFormat="1" ht="13.5" customHeight="1" x14ac:dyDescent="0.2"/>
    <row r="772" s="51" customFormat="1" ht="13.5" customHeight="1" x14ac:dyDescent="0.2"/>
    <row r="773" s="51" customFormat="1" ht="13.5" customHeight="1" x14ac:dyDescent="0.2"/>
    <row r="774" s="51" customFormat="1" ht="13.5" customHeight="1" x14ac:dyDescent="0.2"/>
    <row r="775" s="51" customFormat="1" ht="13.5" customHeight="1" x14ac:dyDescent="0.2"/>
    <row r="776" s="51" customFormat="1" ht="13.5" customHeight="1" x14ac:dyDescent="0.2"/>
    <row r="777" s="51" customFormat="1" ht="13.5" customHeight="1" x14ac:dyDescent="0.2"/>
    <row r="778" s="51" customFormat="1" ht="13.5" customHeight="1" x14ac:dyDescent="0.2"/>
    <row r="779" s="51" customFormat="1" ht="13.5" customHeight="1" x14ac:dyDescent="0.2"/>
    <row r="780" s="51" customFormat="1" ht="13.5" customHeight="1" x14ac:dyDescent="0.2"/>
    <row r="781" s="51" customFormat="1" ht="13.5" customHeight="1" x14ac:dyDescent="0.2"/>
    <row r="782" s="51" customFormat="1" ht="13.5" customHeight="1" x14ac:dyDescent="0.2"/>
    <row r="783" s="51" customFormat="1" ht="13.5" customHeight="1" x14ac:dyDescent="0.2"/>
    <row r="784" s="51" customFormat="1" ht="13.5" customHeight="1" x14ac:dyDescent="0.2"/>
    <row r="785" s="51" customFormat="1" ht="13.5" customHeight="1" x14ac:dyDescent="0.2"/>
    <row r="786" s="51" customFormat="1" ht="13.5" customHeight="1" x14ac:dyDescent="0.2"/>
    <row r="787" s="51" customFormat="1" ht="13.5" customHeight="1" x14ac:dyDescent="0.2"/>
    <row r="788" s="51" customFormat="1" ht="13.5" customHeight="1" x14ac:dyDescent="0.2"/>
    <row r="789" s="51" customFormat="1" ht="13.5" customHeight="1" x14ac:dyDescent="0.2"/>
    <row r="790" s="51" customFormat="1" ht="13.5" customHeight="1" x14ac:dyDescent="0.2"/>
    <row r="791" s="51" customFormat="1" ht="13.5" customHeight="1" x14ac:dyDescent="0.2"/>
    <row r="792" s="51" customFormat="1" ht="13.5" customHeight="1" x14ac:dyDescent="0.2"/>
    <row r="793" s="51" customFormat="1" ht="13.5" customHeight="1" x14ac:dyDescent="0.2"/>
    <row r="794" s="51" customFormat="1" ht="13.5" customHeight="1" x14ac:dyDescent="0.2"/>
    <row r="795" s="51" customFormat="1" ht="13.5" customHeight="1" x14ac:dyDescent="0.2"/>
    <row r="796" s="51" customFormat="1" ht="13.5" customHeight="1" x14ac:dyDescent="0.2"/>
    <row r="797" s="51" customFormat="1" ht="13.5" customHeight="1" x14ac:dyDescent="0.2"/>
    <row r="798" s="51" customFormat="1" ht="13.5" customHeight="1" x14ac:dyDescent="0.2"/>
    <row r="799" s="51" customFormat="1" ht="13.5" customHeight="1" x14ac:dyDescent="0.2"/>
    <row r="800" s="51" customFormat="1" ht="13.5" customHeight="1" x14ac:dyDescent="0.2"/>
    <row r="801" s="51" customFormat="1" ht="13.5" customHeight="1" x14ac:dyDescent="0.2"/>
    <row r="802" s="51" customFormat="1" ht="13.5" customHeight="1" x14ac:dyDescent="0.2"/>
    <row r="803" s="51" customFormat="1" ht="13.5" customHeight="1" x14ac:dyDescent="0.2"/>
    <row r="804" s="51" customFormat="1" ht="13.5" customHeight="1" x14ac:dyDescent="0.2"/>
    <row r="805" s="51" customFormat="1" ht="13.5" customHeight="1" x14ac:dyDescent="0.2"/>
    <row r="806" s="51" customFormat="1" ht="13.5" customHeight="1" x14ac:dyDescent="0.2"/>
    <row r="807" s="51" customFormat="1" ht="13.5" customHeight="1" x14ac:dyDescent="0.2"/>
    <row r="808" s="51" customFormat="1" ht="13.5" customHeight="1" x14ac:dyDescent="0.2"/>
    <row r="809" s="51" customFormat="1" ht="13.5" customHeight="1" x14ac:dyDescent="0.2"/>
    <row r="810" s="51" customFormat="1" ht="13.5" customHeight="1" x14ac:dyDescent="0.2"/>
    <row r="811" s="51" customFormat="1" ht="13.5" customHeight="1" x14ac:dyDescent="0.2"/>
    <row r="812" s="51" customFormat="1" ht="13.5" customHeight="1" x14ac:dyDescent="0.2"/>
    <row r="813" s="51" customFormat="1" ht="13.5" customHeight="1" x14ac:dyDescent="0.2"/>
    <row r="814" s="51" customFormat="1" ht="13.5" customHeight="1" x14ac:dyDescent="0.2"/>
    <row r="815" s="51" customFormat="1" ht="13.5" customHeight="1" x14ac:dyDescent="0.2"/>
    <row r="816" s="51" customFormat="1" ht="13.5" customHeight="1" x14ac:dyDescent="0.2"/>
    <row r="817" s="51" customFormat="1" ht="13.5" customHeight="1" x14ac:dyDescent="0.2"/>
    <row r="818" s="51" customFormat="1" ht="13.5" customHeight="1" x14ac:dyDescent="0.2"/>
    <row r="819" s="51" customFormat="1" ht="13.5" customHeight="1" x14ac:dyDescent="0.2"/>
    <row r="820" s="51" customFormat="1" ht="13.5" customHeight="1" x14ac:dyDescent="0.2"/>
    <row r="821" s="51" customFormat="1" ht="13.5" customHeight="1" x14ac:dyDescent="0.2"/>
    <row r="822" s="51" customFormat="1" ht="13.5" customHeight="1" x14ac:dyDescent="0.2"/>
    <row r="823" s="51" customFormat="1" ht="13.5" customHeight="1" x14ac:dyDescent="0.2"/>
    <row r="824" s="51" customFormat="1" ht="13.5" customHeight="1" x14ac:dyDescent="0.2"/>
    <row r="825" s="51" customFormat="1" ht="13.5" customHeight="1" x14ac:dyDescent="0.2"/>
    <row r="826" s="51" customFormat="1" ht="13.5" customHeight="1" x14ac:dyDescent="0.2"/>
    <row r="827" s="51" customFormat="1" ht="13.5" customHeight="1" x14ac:dyDescent="0.2"/>
    <row r="828" s="51" customFormat="1" ht="13.5" customHeight="1" x14ac:dyDescent="0.2"/>
    <row r="829" s="51" customFormat="1" ht="13.5" customHeight="1" x14ac:dyDescent="0.2"/>
    <row r="830" s="51" customFormat="1" ht="13.5" customHeight="1" x14ac:dyDescent="0.2"/>
    <row r="831" s="51" customFormat="1" ht="13.5" customHeight="1" x14ac:dyDescent="0.2"/>
    <row r="832" s="51" customFormat="1" ht="13.5" customHeight="1" x14ac:dyDescent="0.2"/>
    <row r="833" s="51" customFormat="1" ht="13.5" customHeight="1" x14ac:dyDescent="0.2"/>
    <row r="834" s="51" customFormat="1" ht="13.5" customHeight="1" x14ac:dyDescent="0.2"/>
    <row r="835" s="51" customFormat="1" ht="13.5" customHeight="1" x14ac:dyDescent="0.2"/>
    <row r="836" s="51" customFormat="1" ht="13.5" customHeight="1" x14ac:dyDescent="0.2"/>
    <row r="837" s="51" customFormat="1" ht="13.5" customHeight="1" x14ac:dyDescent="0.2"/>
    <row r="838" s="51" customFormat="1" ht="13.5" customHeight="1" x14ac:dyDescent="0.2"/>
    <row r="839" s="51" customFormat="1" ht="13.5" customHeight="1" x14ac:dyDescent="0.2"/>
    <row r="840" s="51" customFormat="1" ht="13.5" customHeight="1" x14ac:dyDescent="0.2"/>
    <row r="841" s="51" customFormat="1" ht="13.5" customHeight="1" x14ac:dyDescent="0.2"/>
    <row r="842" s="51" customFormat="1" ht="13.5" customHeight="1" x14ac:dyDescent="0.2"/>
    <row r="843" s="51" customFormat="1" ht="13.5" customHeight="1" x14ac:dyDescent="0.2"/>
    <row r="844" s="51" customFormat="1" ht="13.5" customHeight="1" x14ac:dyDescent="0.2"/>
    <row r="845" s="51" customFormat="1" ht="13.5" customHeight="1" x14ac:dyDescent="0.2"/>
    <row r="846" s="51" customFormat="1" ht="13.5" customHeight="1" x14ac:dyDescent="0.2"/>
    <row r="847" s="51" customFormat="1" ht="13.5" customHeight="1" x14ac:dyDescent="0.2"/>
    <row r="848" s="51" customFormat="1" ht="13.5" customHeight="1" x14ac:dyDescent="0.2"/>
    <row r="849" s="51" customFormat="1" ht="13.5" customHeight="1" x14ac:dyDescent="0.2"/>
    <row r="850" s="51" customFormat="1" ht="13.5" customHeight="1" x14ac:dyDescent="0.2"/>
    <row r="851" s="51" customFormat="1" ht="13.5" customHeight="1" x14ac:dyDescent="0.2"/>
    <row r="852" s="51" customFormat="1" ht="13.5" customHeight="1" x14ac:dyDescent="0.2"/>
    <row r="853" s="51" customFormat="1" ht="13.5" customHeight="1" x14ac:dyDescent="0.2"/>
    <row r="854" s="51" customFormat="1" ht="13.5" customHeight="1" x14ac:dyDescent="0.2"/>
    <row r="855" s="51" customFormat="1" ht="13.5" customHeight="1" x14ac:dyDescent="0.2"/>
    <row r="856" s="51" customFormat="1" ht="13.5" customHeight="1" x14ac:dyDescent="0.2"/>
    <row r="857" s="51" customFormat="1" ht="13.5" customHeight="1" x14ac:dyDescent="0.2"/>
    <row r="858" s="51" customFormat="1" ht="13.5" customHeight="1" x14ac:dyDescent="0.2"/>
    <row r="859" s="51" customFormat="1" ht="13.5" customHeight="1" x14ac:dyDescent="0.2"/>
    <row r="860" s="51" customFormat="1" ht="13.5" customHeight="1" x14ac:dyDescent="0.2"/>
    <row r="861" s="51" customFormat="1" ht="13.5" customHeight="1" x14ac:dyDescent="0.2"/>
    <row r="862" s="51" customFormat="1" ht="13.5" customHeight="1" x14ac:dyDescent="0.2"/>
    <row r="863" s="51" customFormat="1" ht="13.5" customHeight="1" x14ac:dyDescent="0.2"/>
    <row r="864" s="51" customFormat="1" ht="13.5" customHeight="1" x14ac:dyDescent="0.2"/>
    <row r="865" s="51" customFormat="1" ht="13.5" customHeight="1" x14ac:dyDescent="0.2"/>
    <row r="866" s="51" customFormat="1" ht="13.5" customHeight="1" x14ac:dyDescent="0.2"/>
    <row r="867" s="51" customFormat="1" ht="13.5" customHeight="1" x14ac:dyDescent="0.2"/>
    <row r="868" s="51" customFormat="1" ht="13.5" customHeight="1" x14ac:dyDescent="0.2"/>
    <row r="869" s="51" customFormat="1" ht="13.5" customHeight="1" x14ac:dyDescent="0.2"/>
    <row r="870" s="51" customFormat="1" ht="13.5" customHeight="1" x14ac:dyDescent="0.2"/>
    <row r="871" s="51" customFormat="1" ht="13.5" customHeight="1" x14ac:dyDescent="0.2"/>
    <row r="872" s="51" customFormat="1" ht="13.5" customHeight="1" x14ac:dyDescent="0.2"/>
    <row r="873" s="51" customFormat="1" ht="13.5" customHeight="1" x14ac:dyDescent="0.2"/>
    <row r="874" s="51" customFormat="1" ht="13.5" customHeight="1" x14ac:dyDescent="0.2"/>
    <row r="875" s="51" customFormat="1" ht="13.5" customHeight="1" x14ac:dyDescent="0.2"/>
    <row r="876" s="51" customFormat="1" ht="13.5" customHeight="1" x14ac:dyDescent="0.2"/>
    <row r="877" s="51" customFormat="1" ht="13.5" customHeight="1" x14ac:dyDescent="0.2"/>
    <row r="878" s="51" customFormat="1" ht="13.5" customHeight="1" x14ac:dyDescent="0.2"/>
    <row r="879" s="51" customFormat="1" ht="13.5" customHeight="1" x14ac:dyDescent="0.2"/>
    <row r="880" s="51" customFormat="1" ht="13.5" customHeight="1" x14ac:dyDescent="0.2"/>
    <row r="881" s="51" customFormat="1" ht="13.5" customHeight="1" x14ac:dyDescent="0.2"/>
    <row r="882" s="51" customFormat="1" ht="13.5" customHeight="1" x14ac:dyDescent="0.2"/>
    <row r="883" s="51" customFormat="1" ht="13.5" customHeight="1" x14ac:dyDescent="0.2"/>
    <row r="884" s="51" customFormat="1" ht="13.5" customHeight="1" x14ac:dyDescent="0.2"/>
    <row r="885" s="51" customFormat="1" ht="13.5" customHeight="1" x14ac:dyDescent="0.2"/>
    <row r="886" s="51" customFormat="1" ht="13.5" customHeight="1" x14ac:dyDescent="0.2"/>
    <row r="887" s="51" customFormat="1" ht="13.5" customHeight="1" x14ac:dyDescent="0.2"/>
    <row r="888" s="51" customFormat="1" ht="13.5" customHeight="1" x14ac:dyDescent="0.2"/>
    <row r="889" s="51" customFormat="1" ht="13.5" customHeight="1" x14ac:dyDescent="0.2"/>
    <row r="890" s="51" customFormat="1" ht="13.5" customHeight="1" x14ac:dyDescent="0.2"/>
    <row r="891" s="51" customFormat="1" ht="13.5" customHeight="1" x14ac:dyDescent="0.2"/>
    <row r="892" s="51" customFormat="1" ht="13.5" customHeight="1" x14ac:dyDescent="0.2"/>
    <row r="893" s="51" customFormat="1" ht="13.5" customHeight="1" x14ac:dyDescent="0.2"/>
    <row r="894" s="51" customFormat="1" ht="13.5" customHeight="1" x14ac:dyDescent="0.2"/>
    <row r="895" s="51" customFormat="1" ht="13.5" customHeight="1" x14ac:dyDescent="0.2"/>
    <row r="896" s="51" customFormat="1" ht="13.5" customHeight="1" x14ac:dyDescent="0.2"/>
    <row r="897" s="51" customFormat="1" ht="13.5" customHeight="1" x14ac:dyDescent="0.2"/>
    <row r="898" s="51" customFormat="1" ht="13.5" customHeight="1" x14ac:dyDescent="0.2"/>
    <row r="899" s="51" customFormat="1" ht="13.5" customHeight="1" x14ac:dyDescent="0.2"/>
    <row r="900" s="51" customFormat="1" ht="13.5" customHeight="1" x14ac:dyDescent="0.2"/>
    <row r="901" s="51" customFormat="1" ht="13.5" customHeight="1" x14ac:dyDescent="0.2"/>
    <row r="902" s="51" customFormat="1" ht="13.5" customHeight="1" x14ac:dyDescent="0.2"/>
    <row r="903" s="51" customFormat="1" ht="13.5" customHeight="1" x14ac:dyDescent="0.2"/>
    <row r="904" s="51" customFormat="1" ht="13.5" customHeight="1" x14ac:dyDescent="0.2"/>
    <row r="905" s="51" customFormat="1" ht="13.5" customHeight="1" x14ac:dyDescent="0.2"/>
    <row r="906" s="51" customFormat="1" ht="13.5" customHeight="1" x14ac:dyDescent="0.2"/>
    <row r="907" s="51" customFormat="1" ht="13.5" customHeight="1" x14ac:dyDescent="0.2"/>
    <row r="908" s="51" customFormat="1" ht="13.5" customHeight="1" x14ac:dyDescent="0.2"/>
    <row r="909" s="51" customFormat="1" ht="13.5" customHeight="1" x14ac:dyDescent="0.2"/>
    <row r="910" s="51" customFormat="1" ht="13.5" customHeight="1" x14ac:dyDescent="0.2"/>
    <row r="911" s="51" customFormat="1" ht="13.5" customHeight="1" x14ac:dyDescent="0.2"/>
    <row r="912" s="51" customFormat="1" ht="13.5" customHeight="1" x14ac:dyDescent="0.2"/>
    <row r="913" s="51" customFormat="1" ht="13.5" customHeight="1" x14ac:dyDescent="0.2"/>
    <row r="914" s="51" customFormat="1" ht="13.5" customHeight="1" x14ac:dyDescent="0.2"/>
    <row r="915" s="51" customFormat="1" ht="13.5" customHeight="1" x14ac:dyDescent="0.2"/>
    <row r="916" s="51" customFormat="1" ht="13.5" customHeight="1" x14ac:dyDescent="0.2"/>
    <row r="917" s="51" customFormat="1" ht="13.5" customHeight="1" x14ac:dyDescent="0.2"/>
    <row r="918" s="51" customFormat="1" ht="13.5" customHeight="1" x14ac:dyDescent="0.2"/>
    <row r="919" s="51" customFormat="1" ht="13.5" customHeight="1" x14ac:dyDescent="0.2"/>
    <row r="920" s="51" customFormat="1" ht="13.5" customHeight="1" x14ac:dyDescent="0.2"/>
    <row r="921" s="51" customFormat="1" ht="13.5" customHeight="1" x14ac:dyDescent="0.2"/>
    <row r="922" s="51" customFormat="1" ht="13.5" customHeight="1" x14ac:dyDescent="0.2"/>
    <row r="923" s="51" customFormat="1" ht="13.5" customHeight="1" x14ac:dyDescent="0.2"/>
    <row r="924" s="51" customFormat="1" ht="13.5" customHeight="1" x14ac:dyDescent="0.2"/>
    <row r="925" s="51" customFormat="1" ht="13.5" customHeight="1" x14ac:dyDescent="0.2"/>
    <row r="926" s="51" customFormat="1" ht="13.5" customHeight="1" x14ac:dyDescent="0.2"/>
    <row r="927" s="51" customFormat="1" ht="13.5" customHeight="1" x14ac:dyDescent="0.2"/>
    <row r="928" s="51" customFormat="1" ht="13.5" customHeight="1" x14ac:dyDescent="0.2"/>
    <row r="929" s="51" customFormat="1" ht="13.5" customHeight="1" x14ac:dyDescent="0.2"/>
    <row r="930" s="51" customFormat="1" ht="13.5" customHeight="1" x14ac:dyDescent="0.2"/>
    <row r="931" s="51" customFormat="1" ht="13.5" customHeight="1" x14ac:dyDescent="0.2"/>
    <row r="932" s="51" customFormat="1" ht="13.5" customHeight="1" x14ac:dyDescent="0.2"/>
    <row r="933" s="51" customFormat="1" ht="13.5" customHeight="1" x14ac:dyDescent="0.2"/>
    <row r="934" s="51" customFormat="1" ht="13.5" customHeight="1" x14ac:dyDescent="0.2"/>
    <row r="935" s="51" customFormat="1" ht="13.5" customHeight="1" x14ac:dyDescent="0.2"/>
    <row r="936" s="51" customFormat="1" ht="13.5" customHeight="1" x14ac:dyDescent="0.2"/>
    <row r="937" s="51" customFormat="1" ht="13.5" customHeight="1" x14ac:dyDescent="0.2"/>
    <row r="938" s="51" customFormat="1" ht="13.5" customHeight="1" x14ac:dyDescent="0.2"/>
    <row r="939" s="51" customFormat="1" ht="13.5" customHeight="1" x14ac:dyDescent="0.2"/>
    <row r="940" s="51" customFormat="1" ht="13.5" customHeight="1" x14ac:dyDescent="0.2"/>
    <row r="941" s="51" customFormat="1" ht="13.5" customHeight="1" x14ac:dyDescent="0.2"/>
    <row r="942" s="51" customFormat="1" ht="13.5" customHeight="1" x14ac:dyDescent="0.2"/>
    <row r="943" s="51" customFormat="1" ht="13.5" customHeight="1" x14ac:dyDescent="0.2"/>
    <row r="944" s="51" customFormat="1" ht="13.5" customHeight="1" x14ac:dyDescent="0.2"/>
    <row r="945" s="51" customFormat="1" ht="13.5" customHeight="1" x14ac:dyDescent="0.2"/>
    <row r="946" s="51" customFormat="1" ht="13.5" customHeight="1" x14ac:dyDescent="0.2"/>
    <row r="947" s="51" customFormat="1" ht="13.5" customHeight="1" x14ac:dyDescent="0.2"/>
    <row r="948" s="51" customFormat="1" ht="13.5" customHeight="1" x14ac:dyDescent="0.2"/>
    <row r="949" s="51" customFormat="1" ht="13.5" customHeight="1" x14ac:dyDescent="0.2"/>
    <row r="950" s="51" customFormat="1" ht="13.5" customHeight="1" x14ac:dyDescent="0.2"/>
    <row r="951" s="51" customFormat="1" ht="13.5" customHeight="1" x14ac:dyDescent="0.2"/>
    <row r="952" s="51" customFormat="1" ht="13.5" customHeight="1" x14ac:dyDescent="0.2"/>
    <row r="953" s="51" customFormat="1" ht="13.5" customHeight="1" x14ac:dyDescent="0.2"/>
    <row r="954" s="51" customFormat="1" ht="13.5" customHeight="1" x14ac:dyDescent="0.2"/>
    <row r="955" s="51" customFormat="1" ht="13.5" customHeight="1" x14ac:dyDescent="0.2"/>
    <row r="956" s="51" customFormat="1" ht="13.5" customHeight="1" x14ac:dyDescent="0.2"/>
    <row r="957" s="51" customFormat="1" ht="13.5" customHeight="1" x14ac:dyDescent="0.2"/>
    <row r="958" s="51" customFormat="1" ht="13.5" customHeight="1" x14ac:dyDescent="0.2"/>
    <row r="959" s="51" customFormat="1" ht="13.5" customHeight="1" x14ac:dyDescent="0.2"/>
    <row r="960" s="51" customFormat="1" ht="13.5" customHeight="1" x14ac:dyDescent="0.2"/>
    <row r="961" s="51" customFormat="1" ht="13.5" customHeight="1" x14ac:dyDescent="0.2"/>
    <row r="962" s="51" customFormat="1" ht="13.5" customHeight="1" x14ac:dyDescent="0.2"/>
    <row r="963" s="51" customFormat="1" ht="13.5" customHeight="1" x14ac:dyDescent="0.2"/>
    <row r="964" s="51" customFormat="1" ht="13.5" customHeight="1" x14ac:dyDescent="0.2"/>
    <row r="965" s="51" customFormat="1" ht="13.5" customHeight="1" x14ac:dyDescent="0.2"/>
    <row r="966" s="51" customFormat="1" ht="13.5" customHeight="1" x14ac:dyDescent="0.2"/>
    <row r="967" s="51" customFormat="1" ht="13.5" customHeight="1" x14ac:dyDescent="0.2"/>
    <row r="968" s="51" customFormat="1" ht="13.5" customHeight="1" x14ac:dyDescent="0.2"/>
    <row r="969" s="51" customFormat="1" ht="13.5" customHeight="1" x14ac:dyDescent="0.2"/>
    <row r="970" s="51" customFormat="1" ht="13.5" customHeight="1" x14ac:dyDescent="0.2"/>
    <row r="971" s="51" customFormat="1" ht="13.5" customHeight="1" x14ac:dyDescent="0.2"/>
    <row r="972" s="51" customFormat="1" ht="13.5" customHeight="1" x14ac:dyDescent="0.2"/>
    <row r="973" s="51" customFormat="1" ht="13.5" customHeight="1" x14ac:dyDescent="0.2"/>
    <row r="974" s="51" customFormat="1" ht="13.5" customHeight="1" x14ac:dyDescent="0.2"/>
    <row r="975" s="51" customFormat="1" ht="13.5" customHeight="1" x14ac:dyDescent="0.2"/>
    <row r="976" s="51" customFormat="1" ht="13.5" customHeight="1" x14ac:dyDescent="0.2"/>
    <row r="977" s="51" customFormat="1" ht="13.5" customHeight="1" x14ac:dyDescent="0.2"/>
    <row r="978" s="51" customFormat="1" ht="13.5" customHeight="1" x14ac:dyDescent="0.2"/>
    <row r="979" s="51" customFormat="1" ht="13.5" customHeight="1" x14ac:dyDescent="0.2"/>
    <row r="980" s="51" customFormat="1" ht="13.5" customHeight="1" x14ac:dyDescent="0.2"/>
    <row r="981" s="51" customFormat="1" ht="13.5" customHeight="1" x14ac:dyDescent="0.2"/>
    <row r="982" s="51" customFormat="1" ht="13.5" customHeight="1" x14ac:dyDescent="0.2"/>
    <row r="983" s="51" customFormat="1" ht="13.5" customHeight="1" x14ac:dyDescent="0.2"/>
    <row r="984" s="51" customFormat="1" ht="13.5" customHeight="1" x14ac:dyDescent="0.2"/>
    <row r="985" s="51" customFormat="1" ht="13.5" customHeight="1" x14ac:dyDescent="0.2"/>
    <row r="986" s="51" customFormat="1" ht="13.5" customHeight="1" x14ac:dyDescent="0.2"/>
    <row r="987" s="51" customFormat="1" ht="13.5" customHeight="1" x14ac:dyDescent="0.2"/>
    <row r="988" s="51" customFormat="1" ht="13.5" customHeight="1" x14ac:dyDescent="0.2"/>
    <row r="989" s="51" customFormat="1" ht="13.5" customHeight="1" x14ac:dyDescent="0.2"/>
    <row r="990" s="51" customFormat="1" ht="13.5" customHeight="1" x14ac:dyDescent="0.2"/>
    <row r="991" s="51" customFormat="1" ht="13.5" customHeight="1" x14ac:dyDescent="0.2"/>
    <row r="992" s="51" customFormat="1" ht="13.5" customHeight="1" x14ac:dyDescent="0.2"/>
    <row r="993" s="51" customFormat="1" ht="13.5" customHeight="1" x14ac:dyDescent="0.2"/>
    <row r="994" s="51" customFormat="1" ht="13.5" customHeight="1" x14ac:dyDescent="0.2"/>
    <row r="995" s="51" customFormat="1" ht="13.5" customHeight="1" x14ac:dyDescent="0.2"/>
    <row r="996" s="51" customFormat="1" ht="13.5" customHeight="1" x14ac:dyDescent="0.2"/>
    <row r="997" s="51" customFormat="1" ht="13.5" customHeight="1" x14ac:dyDescent="0.2"/>
    <row r="998" s="51" customFormat="1" ht="13.5" customHeight="1" x14ac:dyDescent="0.2"/>
    <row r="999" s="51" customFormat="1" ht="13.5" customHeight="1" x14ac:dyDescent="0.2"/>
    <row r="1000" s="51" customFormat="1" ht="13.5" customHeight="1" x14ac:dyDescent="0.2"/>
  </sheetData>
  <mergeCells count="6">
    <mergeCell ref="B51:N51"/>
    <mergeCell ref="B2:N3"/>
    <mergeCell ref="B4:N4"/>
    <mergeCell ref="B8:N8"/>
    <mergeCell ref="B16:N16"/>
    <mergeCell ref="B23:N23"/>
  </mergeCells>
  <conditionalFormatting sqref="C31:N42">
    <cfRule type="colorScale" priority="1">
      <colorScale>
        <cfvo type="min"/>
        <cfvo type="percentile" val="50"/>
        <cfvo type="max"/>
        <color rgb="FFFFFFFF"/>
        <color rgb="FFDCEAF7"/>
        <color rgb="FF8FB7DA"/>
      </colorScale>
    </cfRule>
  </conditionalFormatting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N1000"/>
  <sheetViews>
    <sheetView showGridLines="0" workbookViewId="0">
      <selection activeCell="B23" sqref="B23:N23"/>
    </sheetView>
  </sheetViews>
  <sheetFormatPr baseColWidth="10" defaultColWidth="12.6640625" defaultRowHeight="15" customHeight="1" x14ac:dyDescent="0.2"/>
  <cols>
    <col min="1" max="1" width="3.33203125" style="51" customWidth="1"/>
    <col min="2" max="2" width="31" style="51" customWidth="1"/>
    <col min="3" max="14" width="12" style="51" customWidth="1"/>
    <col min="15" max="27" width="8.83203125" style="51" customWidth="1"/>
    <col min="28" max="16384" width="12.6640625" style="51"/>
  </cols>
  <sheetData>
    <row r="2" spans="2:14" ht="13.5" customHeight="1" x14ac:dyDescent="0.2">
      <c r="B2" s="57" t="s">
        <v>239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</row>
    <row r="3" spans="2:14" ht="13.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</row>
    <row r="4" spans="2:14" ht="13.5" customHeight="1" x14ac:dyDescent="0.2">
      <c r="B4" s="74" t="s">
        <v>240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2:14" ht="13.5" customHeight="1" x14ac:dyDescent="0.2"/>
    <row r="6" spans="2:14" ht="13.5" customHeight="1" x14ac:dyDescent="0.2">
      <c r="B6" s="50" t="s">
        <v>183</v>
      </c>
      <c r="C6" s="18">
        <v>46388</v>
      </c>
      <c r="D6" s="18">
        <v>46419</v>
      </c>
      <c r="E6" s="18">
        <v>46447</v>
      </c>
      <c r="F6" s="18">
        <v>46478</v>
      </c>
      <c r="G6" s="18">
        <v>46508</v>
      </c>
      <c r="H6" s="18">
        <v>46539</v>
      </c>
      <c r="I6" s="18">
        <v>46569</v>
      </c>
      <c r="J6" s="18">
        <v>46600</v>
      </c>
      <c r="K6" s="18">
        <v>46631</v>
      </c>
      <c r="L6" s="18">
        <v>46661</v>
      </c>
      <c r="M6" s="18">
        <v>46692</v>
      </c>
      <c r="N6" s="18">
        <v>46722</v>
      </c>
    </row>
    <row r="7" spans="2:14" ht="13.5" customHeight="1" x14ac:dyDescent="0.2"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2:14" ht="13.5" customHeight="1" x14ac:dyDescent="0.2">
      <c r="B8" s="66" t="s">
        <v>241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8"/>
    </row>
    <row r="9" spans="2:14" ht="13.5" customHeight="1" x14ac:dyDescent="0.2">
      <c r="B9" s="19" t="s">
        <v>242</v>
      </c>
      <c r="C9" s="21">
        <f>Revenue!C$45</f>
        <v>600.22481999999991</v>
      </c>
      <c r="D9" s="21">
        <f>Revenue!D$45</f>
        <v>638.04222424005377</v>
      </c>
      <c r="E9" s="21">
        <f>Revenue!E$45</f>
        <v>677.93303532814321</v>
      </c>
      <c r="F9" s="21">
        <f>Revenue!F$45</f>
        <v>721.0177993331472</v>
      </c>
      <c r="G9" s="21">
        <f>Revenue!G$45</f>
        <v>768.40397083007724</v>
      </c>
      <c r="H9" s="21">
        <f>Revenue!H$45</f>
        <v>820.06744997453529</v>
      </c>
      <c r="I9" s="21">
        <f>Revenue!I$45</f>
        <v>875.98428216140269</v>
      </c>
      <c r="J9" s="21">
        <f>Revenue!J$45</f>
        <v>936.1306571536436</v>
      </c>
      <c r="K9" s="21">
        <f>Revenue!K$45</f>
        <v>1000.4829082163373</v>
      </c>
      <c r="L9" s="21">
        <f>Revenue!L$45</f>
        <v>1069.0175112559045</v>
      </c>
      <c r="M9" s="21">
        <f>Revenue!M$45</f>
        <v>1141.7110839645009</v>
      </c>
      <c r="N9" s="21">
        <f>Revenue!N$45</f>
        <v>1218.5403849695419</v>
      </c>
    </row>
    <row r="10" spans="2:14" ht="13.5" customHeight="1" x14ac:dyDescent="0.2">
      <c r="B10" s="19" t="s">
        <v>243</v>
      </c>
      <c r="C10" s="29">
        <f>Assumptions!$F$20</f>
        <v>0.18</v>
      </c>
      <c r="D10" s="29">
        <f>Assumptions!$F$20</f>
        <v>0.18</v>
      </c>
      <c r="E10" s="29">
        <f>Assumptions!$F$20</f>
        <v>0.18</v>
      </c>
      <c r="F10" s="29">
        <f>Assumptions!$F$20</f>
        <v>0.18</v>
      </c>
      <c r="G10" s="29">
        <f>Assumptions!$F$20</f>
        <v>0.18</v>
      </c>
      <c r="H10" s="29">
        <f>Assumptions!$F$20</f>
        <v>0.18</v>
      </c>
      <c r="I10" s="29">
        <f>Assumptions!$F$20</f>
        <v>0.18</v>
      </c>
      <c r="J10" s="29">
        <f>Assumptions!$F$20</f>
        <v>0.18</v>
      </c>
      <c r="K10" s="29">
        <f>Assumptions!$F$20</f>
        <v>0.18</v>
      </c>
      <c r="L10" s="29">
        <f>Assumptions!$F$20</f>
        <v>0.18</v>
      </c>
      <c r="M10" s="29">
        <f>Assumptions!$F$20</f>
        <v>0.18</v>
      </c>
      <c r="N10" s="29">
        <f>Assumptions!$F$20</f>
        <v>0.18</v>
      </c>
    </row>
    <row r="11" spans="2:14" ht="13.5" customHeight="1" x14ac:dyDescent="0.2">
      <c r="B11" s="19" t="s">
        <v>110</v>
      </c>
      <c r="C11" s="31">
        <f t="shared" ref="C11:N11" si="0">C9*C10</f>
        <v>108.04046759999999</v>
      </c>
      <c r="D11" s="31">
        <f t="shared" si="0"/>
        <v>114.84760036320968</v>
      </c>
      <c r="E11" s="31">
        <f t="shared" si="0"/>
        <v>122.02794635906577</v>
      </c>
      <c r="F11" s="31">
        <f t="shared" si="0"/>
        <v>129.78320387996649</v>
      </c>
      <c r="G11" s="31">
        <f t="shared" si="0"/>
        <v>138.31271474941389</v>
      </c>
      <c r="H11" s="31">
        <f t="shared" si="0"/>
        <v>147.61214099541635</v>
      </c>
      <c r="I11" s="31">
        <f t="shared" si="0"/>
        <v>157.67717078905247</v>
      </c>
      <c r="J11" s="31">
        <f t="shared" si="0"/>
        <v>168.50351828765585</v>
      </c>
      <c r="K11" s="31">
        <f t="shared" si="0"/>
        <v>180.08692347894069</v>
      </c>
      <c r="L11" s="31">
        <f t="shared" si="0"/>
        <v>192.42315202606281</v>
      </c>
      <c r="M11" s="31">
        <f t="shared" si="0"/>
        <v>205.50799511361015</v>
      </c>
      <c r="N11" s="31">
        <f t="shared" si="0"/>
        <v>219.33726929451754</v>
      </c>
    </row>
    <row r="12" spans="2:14" ht="13.5" customHeight="1" x14ac:dyDescent="0.2">
      <c r="B12" s="19" t="s">
        <v>199</v>
      </c>
      <c r="C12" s="21">
        <f>Revenue!C$47</f>
        <v>27.34</v>
      </c>
      <c r="D12" s="21">
        <f>Revenue!D$47</f>
        <v>28.837626666666669</v>
      </c>
      <c r="E12" s="21">
        <f>Revenue!E$47</f>
        <v>31.149630906666669</v>
      </c>
      <c r="F12" s="21">
        <f>Revenue!F$47</f>
        <v>34.266186274560006</v>
      </c>
      <c r="G12" s="21">
        <f>Revenue!G$47</f>
        <v>37.364042310245971</v>
      </c>
      <c r="H12" s="21">
        <f>Revenue!H$47</f>
        <v>40.443311209717841</v>
      </c>
      <c r="I12" s="21">
        <f>Revenue!I$47</f>
        <v>43.504104495792859</v>
      </c>
      <c r="J12" s="21">
        <f>Revenue!J$47</f>
        <v>46.546533022151444</v>
      </c>
      <c r="K12" s="21">
        <f>Revenue!K$47</f>
        <v>49.570706977351868</v>
      </c>
      <c r="L12" s="21">
        <f>Revenue!L$47</f>
        <v>52.576735888821091</v>
      </c>
      <c r="M12" s="21">
        <f>Revenue!M$47</f>
        <v>55.564728626821505</v>
      </c>
      <c r="N12" s="21">
        <f>Revenue!N$47</f>
        <v>58.534793408393902</v>
      </c>
    </row>
    <row r="13" spans="2:14" ht="13.5" customHeight="1" x14ac:dyDescent="0.2">
      <c r="B13" s="19" t="s">
        <v>244</v>
      </c>
      <c r="C13" s="29">
        <f>Assumptions!$F$21</f>
        <v>0.45</v>
      </c>
      <c r="D13" s="29">
        <f>Assumptions!$F$21</f>
        <v>0.45</v>
      </c>
      <c r="E13" s="29">
        <f>Assumptions!$F$21</f>
        <v>0.45</v>
      </c>
      <c r="F13" s="29">
        <f>Assumptions!$F$21</f>
        <v>0.45</v>
      </c>
      <c r="G13" s="29">
        <f>Assumptions!$F$21</f>
        <v>0.45</v>
      </c>
      <c r="H13" s="29">
        <f>Assumptions!$F$21</f>
        <v>0.45</v>
      </c>
      <c r="I13" s="29">
        <f>Assumptions!$F$21</f>
        <v>0.45</v>
      </c>
      <c r="J13" s="29">
        <f>Assumptions!$F$21</f>
        <v>0.45</v>
      </c>
      <c r="K13" s="29">
        <f>Assumptions!$F$21</f>
        <v>0.45</v>
      </c>
      <c r="L13" s="29">
        <f>Assumptions!$F$21</f>
        <v>0.45</v>
      </c>
      <c r="M13" s="29">
        <f>Assumptions!$F$21</f>
        <v>0.45</v>
      </c>
      <c r="N13" s="29">
        <f>Assumptions!$F$21</f>
        <v>0.45</v>
      </c>
    </row>
    <row r="14" spans="2:14" ht="13.5" customHeight="1" x14ac:dyDescent="0.2">
      <c r="B14" s="19" t="s">
        <v>113</v>
      </c>
      <c r="C14" s="31">
        <f t="shared" ref="C14:N14" si="1">C12*C13</f>
        <v>12.303000000000001</v>
      </c>
      <c r="D14" s="31">
        <f t="shared" si="1"/>
        <v>12.976932000000001</v>
      </c>
      <c r="E14" s="31">
        <f t="shared" si="1"/>
        <v>14.017333908000001</v>
      </c>
      <c r="F14" s="31">
        <f t="shared" si="1"/>
        <v>15.419783823552002</v>
      </c>
      <c r="G14" s="31">
        <f t="shared" si="1"/>
        <v>16.813819039610689</v>
      </c>
      <c r="H14" s="31">
        <f t="shared" si="1"/>
        <v>18.199490044373029</v>
      </c>
      <c r="I14" s="31">
        <f t="shared" si="1"/>
        <v>19.576847023106787</v>
      </c>
      <c r="J14" s="31">
        <f t="shared" si="1"/>
        <v>20.945939859968149</v>
      </c>
      <c r="K14" s="31">
        <f t="shared" si="1"/>
        <v>22.306818139808342</v>
      </c>
      <c r="L14" s="31">
        <f t="shared" si="1"/>
        <v>23.659531149969492</v>
      </c>
      <c r="M14" s="31">
        <f t="shared" si="1"/>
        <v>25.004127882069678</v>
      </c>
      <c r="N14" s="31">
        <f t="shared" si="1"/>
        <v>26.340657033777255</v>
      </c>
    </row>
    <row r="15" spans="2:14" ht="13.5" customHeight="1" x14ac:dyDescent="0.2">
      <c r="B15" s="19" t="s">
        <v>245</v>
      </c>
      <c r="C15" s="31">
        <f t="shared" ref="C15:N15" si="2">SUM(C11,C14)</f>
        <v>120.34346759999998</v>
      </c>
      <c r="D15" s="31">
        <f t="shared" si="2"/>
        <v>127.82453236320968</v>
      </c>
      <c r="E15" s="31">
        <f t="shared" si="2"/>
        <v>136.04528026706578</v>
      </c>
      <c r="F15" s="31">
        <f t="shared" si="2"/>
        <v>145.20298770351849</v>
      </c>
      <c r="G15" s="31">
        <f t="shared" si="2"/>
        <v>155.12653378902456</v>
      </c>
      <c r="H15" s="31">
        <f t="shared" si="2"/>
        <v>165.81163103978938</v>
      </c>
      <c r="I15" s="31">
        <f t="shared" si="2"/>
        <v>177.25401781215925</v>
      </c>
      <c r="J15" s="31">
        <f t="shared" si="2"/>
        <v>189.449458147624</v>
      </c>
      <c r="K15" s="31">
        <f t="shared" si="2"/>
        <v>202.39374161874903</v>
      </c>
      <c r="L15" s="31">
        <f t="shared" si="2"/>
        <v>216.0826831760323</v>
      </c>
      <c r="M15" s="31">
        <f t="shared" si="2"/>
        <v>230.51212299567982</v>
      </c>
      <c r="N15" s="31">
        <f t="shared" si="2"/>
        <v>245.6779263282948</v>
      </c>
    </row>
    <row r="16" spans="2:14" ht="13.5" customHeight="1" x14ac:dyDescent="0.2">
      <c r="B16" s="22" t="s">
        <v>246</v>
      </c>
      <c r="C16" s="33">
        <f>Revenue!C$48-C15</f>
        <v>507.22135239999994</v>
      </c>
      <c r="D16" s="33">
        <f>Revenue!D$48-D15</f>
        <v>539.05531854351079</v>
      </c>
      <c r="E16" s="33">
        <f>Revenue!E$48-E15</f>
        <v>573.03738596774406</v>
      </c>
      <c r="F16" s="33">
        <f>Revenue!F$48-F15</f>
        <v>610.08099790418873</v>
      </c>
      <c r="G16" s="33">
        <f>Revenue!G$48-G15</f>
        <v>650.64147935129859</v>
      </c>
      <c r="H16" s="33">
        <f>Revenue!H$48-H15</f>
        <v>694.69913014446377</v>
      </c>
      <c r="I16" s="33">
        <f>Revenue!I$48-I15</f>
        <v>742.23436884503622</v>
      </c>
      <c r="J16" s="33">
        <f>Revenue!J$48-J15</f>
        <v>793.22773202817109</v>
      </c>
      <c r="K16" s="33">
        <f>Revenue!K$48-K15</f>
        <v>847.65987357494021</v>
      </c>
      <c r="L16" s="33">
        <f>Revenue!L$48-L15</f>
        <v>905.51156396869328</v>
      </c>
      <c r="M16" s="33">
        <f>Revenue!M$48-M15</f>
        <v>966.76368959564252</v>
      </c>
      <c r="N16" s="33">
        <f>Revenue!N$48-N15</f>
        <v>1031.3972520496409</v>
      </c>
    </row>
    <row r="17" spans="2:14" ht="13.5" customHeight="1" x14ac:dyDescent="0.2">
      <c r="B17" s="19" t="s">
        <v>247</v>
      </c>
      <c r="C17" s="29">
        <f>IFERROR(C16/Revenue!C$48,0)</f>
        <v>0.80823739036232145</v>
      </c>
      <c r="D17" s="29">
        <f>IFERROR(D16/Revenue!D$48,0)</f>
        <v>0.80832449475057078</v>
      </c>
      <c r="E17" s="29">
        <f>IFERROR(E16/Revenue!E$48,0)</f>
        <v>0.80813904112272439</v>
      </c>
      <c r="F17" s="29">
        <f>IFERROR(F16/Revenue!F$48,0)</f>
        <v>0.80775047469504191</v>
      </c>
      <c r="G17" s="29">
        <f>IFERROR(G16/Revenue!G$48,0)</f>
        <v>0.80747990580508489</v>
      </c>
      <c r="H17" s="29">
        <f>IFERROR(H16/Revenue!H$48,0)</f>
        <v>0.80731021793196878</v>
      </c>
      <c r="I17" s="29">
        <f>IFERROR(I16/Revenue!I$48,0)</f>
        <v>0.80722538709100267</v>
      </c>
      <c r="J17" s="29">
        <f>IFERROR(J16/Revenue!J$48,0)</f>
        <v>0.80721089281238667</v>
      </c>
      <c r="K17" s="29">
        <f>IFERROR(K16/Revenue!K$48,0)</f>
        <v>0.80725389761986943</v>
      </c>
      <c r="L17" s="29">
        <f>IFERROR(L16/Revenue!L$48,0)</f>
        <v>0.80734326720547989</v>
      </c>
      <c r="M17" s="29">
        <f>IFERROR(M16/Revenue!M$48,0)</f>
        <v>0.80746948984397238</v>
      </c>
      <c r="N17" s="29">
        <f>IFERROR(N16/Revenue!N$48,0)</f>
        <v>0.80762453887770314</v>
      </c>
    </row>
    <row r="18" spans="2:14" ht="13.5" customHeight="1" x14ac:dyDescent="0.2">
      <c r="B18" s="19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spans="2:14" ht="13.5" customHeight="1" x14ac:dyDescent="0.2">
      <c r="B19" s="66" t="s">
        <v>248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8"/>
    </row>
    <row r="20" spans="2:14" ht="13.5" customHeight="1" x14ac:dyDescent="0.2">
      <c r="B20" s="19" t="s">
        <v>249</v>
      </c>
      <c r="C20" s="21">
        <f>HC!C$14</f>
        <v>98.886666666666656</v>
      </c>
      <c r="D20" s="21">
        <f>HC!D$14</f>
        <v>109.96001333333334</v>
      </c>
      <c r="E20" s="21">
        <f>HC!E$14</f>
        <v>120.96691992</v>
      </c>
      <c r="F20" s="21">
        <f>HC!F$14</f>
        <v>131.90778506714668</v>
      </c>
      <c r="G20" s="21">
        <f>HC!G$14</f>
        <v>142.78300502341048</v>
      </c>
      <c r="H20" s="21">
        <f>HC!H$14</f>
        <v>153.59297365993666</v>
      </c>
      <c r="I20" s="21">
        <f>HC!I$14</f>
        <v>164.33808248464371</v>
      </c>
      <c r="J20" s="21">
        <f>HC!J$14</f>
        <v>175.01872065640251</v>
      </c>
      <c r="K20" s="21">
        <f>HC!K$14</f>
        <v>185.63527499913076</v>
      </c>
      <c r="L20" s="21">
        <f>HC!L$14</f>
        <v>196.18813001580261</v>
      </c>
      <c r="M20" s="21">
        <f>HC!M$14</f>
        <v>206.67766790237451</v>
      </c>
      <c r="N20" s="21">
        <f>HC!N$14</f>
        <v>217.10426856162692</v>
      </c>
    </row>
    <row r="21" spans="2:14" ht="13.5" customHeight="1" x14ac:dyDescent="0.2">
      <c r="B21" s="19" t="s">
        <v>250</v>
      </c>
      <c r="C21" s="21">
        <f>HC!C$22</f>
        <v>253.63249999999996</v>
      </c>
      <c r="D21" s="21">
        <f>HC!D$22</f>
        <v>265.860705</v>
      </c>
      <c r="E21" s="21">
        <f>HC!E$22</f>
        <v>278.01554076999997</v>
      </c>
      <c r="F21" s="21">
        <f>HC!F$22</f>
        <v>290.09744752538001</v>
      </c>
      <c r="G21" s="21">
        <f>HC!G$22</f>
        <v>302.10686284022773</v>
      </c>
      <c r="H21" s="21">
        <f>HC!H$22</f>
        <v>314.04422166318631</v>
      </c>
      <c r="I21" s="21">
        <f>HC!I$22</f>
        <v>325.90995633320722</v>
      </c>
      <c r="J21" s="21">
        <f>HC!J$22</f>
        <v>337.70449659520796</v>
      </c>
      <c r="K21" s="21">
        <f>HC!K$22</f>
        <v>349.42826961563674</v>
      </c>
      <c r="L21" s="21">
        <f>HC!L$22</f>
        <v>361.08169999794285</v>
      </c>
      <c r="M21" s="21">
        <f>HC!M$22</f>
        <v>372.66520979795524</v>
      </c>
      <c r="N21" s="21">
        <f>HC!N$22</f>
        <v>384.17921853916755</v>
      </c>
    </row>
    <row r="22" spans="2:14" ht="13.5" customHeight="1" x14ac:dyDescent="0.2">
      <c r="B22" s="19" t="s">
        <v>251</v>
      </c>
      <c r="C22" s="21">
        <f>HC!C$30</f>
        <v>123.49166666666666</v>
      </c>
      <c r="D22" s="21">
        <f>HC!D$30</f>
        <v>128.79238333333333</v>
      </c>
      <c r="E22" s="21">
        <f>HC!E$30</f>
        <v>134.06129569999999</v>
      </c>
      <c r="F22" s="21">
        <f>HC!F$30</f>
        <v>139.29859459246663</v>
      </c>
      <c r="G22" s="21">
        <f>HC!G$30</f>
        <v>144.50446969157852</v>
      </c>
      <c r="H22" s="21">
        <f>HC!H$30</f>
        <v>149.67910954009574</v>
      </c>
      <c r="I22" s="21">
        <f>HC!I$30</f>
        <v>154.82270154952184</v>
      </c>
      <c r="J22" s="21">
        <f>HC!J$30</f>
        <v>159.93543200689138</v>
      </c>
      <c r="K22" s="21">
        <f>HC!K$30</f>
        <v>165.01748608151669</v>
      </c>
      <c r="L22" s="21">
        <f>HC!L$30</f>
        <v>170.06904783169423</v>
      </c>
      <c r="M22" s="21">
        <f>HC!M$30</f>
        <v>175.09030021137076</v>
      </c>
      <c r="N22" s="21">
        <f>HC!N$30</f>
        <v>180.08142507676919</v>
      </c>
    </row>
    <row r="23" spans="2:14" ht="13.5" customHeight="1" x14ac:dyDescent="0.2">
      <c r="B23" s="19" t="s">
        <v>252</v>
      </c>
      <c r="C23" s="21">
        <f>HC!C$38</f>
        <v>104.63791666666664</v>
      </c>
      <c r="D23" s="21">
        <f>HC!D$38</f>
        <v>107.23925583333333</v>
      </c>
      <c r="E23" s="21">
        <f>HC!E$38</f>
        <v>109.82498696499999</v>
      </c>
      <c r="F23" s="21">
        <f>HC!F$38</f>
        <v>112.39520370987664</v>
      </c>
      <c r="G23" s="21">
        <f>HC!G$38</f>
        <v>114.9499991542841</v>
      </c>
      <c r="H23" s="21">
        <f>HC!H$38</f>
        <v>117.48946582602504</v>
      </c>
      <c r="I23" s="21">
        <f>HC!I$38</f>
        <v>120.01369569773557</v>
      </c>
      <c r="J23" s="21">
        <f>HC!J$38</f>
        <v>122.52278019021581</v>
      </c>
      <c r="K23" s="21">
        <f>HC!K$38</f>
        <v>125.01681017574118</v>
      </c>
      <c r="L23" s="21">
        <f>HC!L$38</f>
        <v>127.49587598135344</v>
      </c>
      <c r="M23" s="21">
        <f>HC!M$38</f>
        <v>129.96006739213195</v>
      </c>
      <c r="N23" s="21">
        <f>HC!N$38</f>
        <v>132.40947365444583</v>
      </c>
    </row>
    <row r="24" spans="2:14" ht="13.5" customHeight="1" x14ac:dyDescent="0.2">
      <c r="B24" s="19" t="s">
        <v>253</v>
      </c>
      <c r="C24" s="21">
        <f>HC!C$46</f>
        <v>122.14</v>
      </c>
      <c r="D24" s="21">
        <f>HC!D$46</f>
        <v>126.40716000000002</v>
      </c>
      <c r="E24" s="21">
        <f>HC!E$46</f>
        <v>130.64871704000001</v>
      </c>
      <c r="F24" s="21">
        <f>HC!F$46</f>
        <v>134.86482473776002</v>
      </c>
      <c r="G24" s="21">
        <f>HC!G$46</f>
        <v>139.05563578933345</v>
      </c>
      <c r="H24" s="21">
        <f>HC!H$46</f>
        <v>143.22130197459742</v>
      </c>
      <c r="I24" s="21">
        <f>HC!I$46</f>
        <v>147.36197416274985</v>
      </c>
      <c r="J24" s="21">
        <f>HC!J$46</f>
        <v>151.47780231777332</v>
      </c>
      <c r="K24" s="21">
        <f>HC!K$46</f>
        <v>155.5689355038667</v>
      </c>
      <c r="L24" s="21">
        <f>HC!L$46</f>
        <v>159.63552189084351</v>
      </c>
      <c r="M24" s="21">
        <f>HC!M$46</f>
        <v>163.67770875949844</v>
      </c>
      <c r="N24" s="21">
        <f>HC!N$46</f>
        <v>167.69564250694145</v>
      </c>
    </row>
    <row r="25" spans="2:14" ht="13.5" customHeight="1" x14ac:dyDescent="0.2">
      <c r="B25" s="22" t="s">
        <v>254</v>
      </c>
      <c r="C25" s="23">
        <f t="shared" ref="C25:N25" si="3">SUM(C20:C24)</f>
        <v>702.78874999999994</v>
      </c>
      <c r="D25" s="23">
        <f t="shared" si="3"/>
        <v>738.25951750000002</v>
      </c>
      <c r="E25" s="23">
        <f t="shared" si="3"/>
        <v>773.51746039499994</v>
      </c>
      <c r="F25" s="23">
        <f t="shared" si="3"/>
        <v>808.56385563263007</v>
      </c>
      <c r="G25" s="23">
        <f t="shared" si="3"/>
        <v>843.39997249883425</v>
      </c>
      <c r="H25" s="23">
        <f t="shared" si="3"/>
        <v>878.02707266384107</v>
      </c>
      <c r="I25" s="23">
        <f t="shared" si="3"/>
        <v>912.44641022785822</v>
      </c>
      <c r="J25" s="23">
        <f t="shared" si="3"/>
        <v>946.65923176649096</v>
      </c>
      <c r="K25" s="23">
        <f t="shared" si="3"/>
        <v>980.66677637589203</v>
      </c>
      <c r="L25" s="23">
        <f t="shared" si="3"/>
        <v>1014.4702757176366</v>
      </c>
      <c r="M25" s="23">
        <f t="shared" si="3"/>
        <v>1048.0709540633309</v>
      </c>
      <c r="N25" s="23">
        <f t="shared" si="3"/>
        <v>1081.4700283389509</v>
      </c>
    </row>
    <row r="26" spans="2:14" ht="13.5" customHeight="1" x14ac:dyDescent="0.2">
      <c r="B26" s="1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2:14" ht="13.5" customHeight="1" x14ac:dyDescent="0.2">
      <c r="B27" s="66" t="s">
        <v>255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8"/>
    </row>
    <row r="28" spans="2:14" ht="13.5" customHeight="1" x14ac:dyDescent="0.2">
      <c r="B28" s="19" t="s">
        <v>256</v>
      </c>
      <c r="C28" s="21">
        <f>Assumptions!$F$36</f>
        <v>120</v>
      </c>
      <c r="D28" s="21">
        <f>Assumptions!$F$36</f>
        <v>120</v>
      </c>
      <c r="E28" s="21">
        <f>Assumptions!$F$36</f>
        <v>120</v>
      </c>
      <c r="F28" s="21">
        <f>Assumptions!$F$36</f>
        <v>120</v>
      </c>
      <c r="G28" s="21">
        <f>Assumptions!$F$36</f>
        <v>120</v>
      </c>
      <c r="H28" s="21">
        <f>Assumptions!$F$36</f>
        <v>120</v>
      </c>
      <c r="I28" s="21">
        <f>Assumptions!$F$36</f>
        <v>120</v>
      </c>
      <c r="J28" s="21">
        <f>Assumptions!$F$36</f>
        <v>120</v>
      </c>
      <c r="K28" s="21">
        <f>Assumptions!$F$36</f>
        <v>120</v>
      </c>
      <c r="L28" s="21">
        <f>Assumptions!$F$36</f>
        <v>120</v>
      </c>
      <c r="M28" s="21">
        <f>Assumptions!$F$36</f>
        <v>120</v>
      </c>
      <c r="N28" s="21">
        <f>Assumptions!$F$36</f>
        <v>120</v>
      </c>
    </row>
    <row r="29" spans="2:14" ht="13.5" customHeight="1" x14ac:dyDescent="0.2">
      <c r="B29" s="19" t="s">
        <v>257</v>
      </c>
      <c r="C29" s="21">
        <f>Assumptions!$F$37</f>
        <v>160</v>
      </c>
      <c r="D29" s="21">
        <f>Assumptions!$F$37</f>
        <v>160</v>
      </c>
      <c r="E29" s="21">
        <f>Assumptions!$F$37</f>
        <v>160</v>
      </c>
      <c r="F29" s="21">
        <f>Assumptions!$F$37</f>
        <v>160</v>
      </c>
      <c r="G29" s="21">
        <f>Assumptions!$F$37</f>
        <v>160</v>
      </c>
      <c r="H29" s="21">
        <f>Assumptions!$F$37</f>
        <v>160</v>
      </c>
      <c r="I29" s="21">
        <f>Assumptions!$F$37</f>
        <v>160</v>
      </c>
      <c r="J29" s="21">
        <f>Assumptions!$F$37</f>
        <v>160</v>
      </c>
      <c r="K29" s="21">
        <f>Assumptions!$F$37</f>
        <v>160</v>
      </c>
      <c r="L29" s="21">
        <f>Assumptions!$F$37</f>
        <v>160</v>
      </c>
      <c r="M29" s="21">
        <f>Assumptions!$F$37</f>
        <v>160</v>
      </c>
      <c r="N29" s="21">
        <f>Assumptions!$F$37</f>
        <v>160</v>
      </c>
    </row>
    <row r="30" spans="2:14" ht="13.5" customHeight="1" x14ac:dyDescent="0.2">
      <c r="B30" s="19" t="s">
        <v>258</v>
      </c>
      <c r="C30" s="21">
        <f>Assumptions!$F$38</f>
        <v>90</v>
      </c>
      <c r="D30" s="21">
        <f>Assumptions!$F$38</f>
        <v>90</v>
      </c>
      <c r="E30" s="21">
        <f>Assumptions!$F$38</f>
        <v>90</v>
      </c>
      <c r="F30" s="21">
        <f>Assumptions!$F$38</f>
        <v>90</v>
      </c>
      <c r="G30" s="21">
        <f>Assumptions!$F$38</f>
        <v>90</v>
      </c>
      <c r="H30" s="21">
        <f>Assumptions!$F$38</f>
        <v>90</v>
      </c>
      <c r="I30" s="21">
        <f>Assumptions!$F$38</f>
        <v>90</v>
      </c>
      <c r="J30" s="21">
        <f>Assumptions!$F$38</f>
        <v>90</v>
      </c>
      <c r="K30" s="21">
        <f>Assumptions!$F$38</f>
        <v>90</v>
      </c>
      <c r="L30" s="21">
        <f>Assumptions!$F$38</f>
        <v>90</v>
      </c>
      <c r="M30" s="21">
        <f>Assumptions!$F$38</f>
        <v>90</v>
      </c>
      <c r="N30" s="21">
        <f>Assumptions!$F$38</f>
        <v>90</v>
      </c>
    </row>
    <row r="31" spans="2:14" ht="13.5" customHeight="1" x14ac:dyDescent="0.2">
      <c r="B31" s="19" t="s">
        <v>259</v>
      </c>
      <c r="C31" s="21">
        <f>Assumptions!$F$39</f>
        <v>70</v>
      </c>
      <c r="D31" s="21">
        <f>Assumptions!$F$39</f>
        <v>70</v>
      </c>
      <c r="E31" s="21">
        <f>Assumptions!$F$39</f>
        <v>70</v>
      </c>
      <c r="F31" s="21">
        <f>Assumptions!$F$39</f>
        <v>70</v>
      </c>
      <c r="G31" s="21">
        <f>Assumptions!$F$39</f>
        <v>70</v>
      </c>
      <c r="H31" s="21">
        <f>Assumptions!$F$39</f>
        <v>70</v>
      </c>
      <c r="I31" s="21">
        <f>Assumptions!$F$39</f>
        <v>70</v>
      </c>
      <c r="J31" s="21">
        <f>Assumptions!$F$39</f>
        <v>70</v>
      </c>
      <c r="K31" s="21">
        <f>Assumptions!$F$39</f>
        <v>70</v>
      </c>
      <c r="L31" s="21">
        <f>Assumptions!$F$39</f>
        <v>70</v>
      </c>
      <c r="M31" s="21">
        <f>Assumptions!$F$39</f>
        <v>70</v>
      </c>
      <c r="N31" s="21">
        <f>Assumptions!$F$39</f>
        <v>70</v>
      </c>
    </row>
    <row r="32" spans="2:14" ht="13.5" customHeight="1" x14ac:dyDescent="0.2">
      <c r="B32" s="22" t="s">
        <v>260</v>
      </c>
      <c r="C32" s="23">
        <f t="shared" ref="C32:N32" si="4">SUM(C28:C31)</f>
        <v>440</v>
      </c>
      <c r="D32" s="23">
        <f t="shared" si="4"/>
        <v>440</v>
      </c>
      <c r="E32" s="23">
        <f t="shared" si="4"/>
        <v>440</v>
      </c>
      <c r="F32" s="23">
        <f t="shared" si="4"/>
        <v>440</v>
      </c>
      <c r="G32" s="23">
        <f t="shared" si="4"/>
        <v>440</v>
      </c>
      <c r="H32" s="23">
        <f t="shared" si="4"/>
        <v>440</v>
      </c>
      <c r="I32" s="23">
        <f t="shared" si="4"/>
        <v>440</v>
      </c>
      <c r="J32" s="23">
        <f t="shared" si="4"/>
        <v>440</v>
      </c>
      <c r="K32" s="23">
        <f t="shared" si="4"/>
        <v>440</v>
      </c>
      <c r="L32" s="23">
        <f t="shared" si="4"/>
        <v>440</v>
      </c>
      <c r="M32" s="23">
        <f t="shared" si="4"/>
        <v>440</v>
      </c>
      <c r="N32" s="23">
        <f t="shared" si="4"/>
        <v>440</v>
      </c>
    </row>
    <row r="33" spans="2:14" ht="13.5" customHeight="1" x14ac:dyDescent="0.2">
      <c r="B33" s="1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2:14" ht="13.5" customHeight="1" x14ac:dyDescent="0.2">
      <c r="B34" s="66" t="s">
        <v>261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8"/>
    </row>
    <row r="35" spans="2:14" ht="13.5" customHeight="1" x14ac:dyDescent="0.2">
      <c r="B35" s="22" t="s">
        <v>47</v>
      </c>
      <c r="C35" s="33">
        <f>Revenue!C$48-C15-C25-C32</f>
        <v>-635.56739760000005</v>
      </c>
      <c r="D35" s="33">
        <f>Revenue!D$48-D15-D25-D32</f>
        <v>-639.20419895648922</v>
      </c>
      <c r="E35" s="33">
        <f>Revenue!E$48-E15-E25-E32</f>
        <v>-640.48007442725589</v>
      </c>
      <c r="F35" s="33">
        <f>Revenue!F$48-F15-F25-F32</f>
        <v>-638.48285772844133</v>
      </c>
      <c r="G35" s="33">
        <f>Revenue!G$48-G15-G25-G32</f>
        <v>-632.75849314753566</v>
      </c>
      <c r="H35" s="33">
        <f>Revenue!H$48-H15-H25-H32</f>
        <v>-623.3279425193773</v>
      </c>
      <c r="I35" s="33">
        <f>Revenue!I$48-I15-I25-I32</f>
        <v>-610.21204138282201</v>
      </c>
      <c r="J35" s="33">
        <f>Revenue!J$48-J15-J25-J32</f>
        <v>-593.43149973831987</v>
      </c>
      <c r="K35" s="33">
        <f>Revenue!K$48-K15-K25-K32</f>
        <v>-573.00690280095182</v>
      </c>
      <c r="L35" s="33">
        <f>Revenue!L$48-L15-L25-L32</f>
        <v>-548.9587117489433</v>
      </c>
      <c r="M35" s="33">
        <f>Revenue!M$48-M15-M25-M32</f>
        <v>-521.30726446768836</v>
      </c>
      <c r="N35" s="33">
        <f>Revenue!N$48-N15-N25-N32</f>
        <v>-490.07277628931001</v>
      </c>
    </row>
    <row r="36" spans="2:14" ht="13.5" customHeight="1" x14ac:dyDescent="0.2">
      <c r="B36" s="19" t="s">
        <v>262</v>
      </c>
      <c r="C36" s="29">
        <f>IFERROR(C35/Revenue!C$48,0)</f>
        <v>-1.0127517944680202</v>
      </c>
      <c r="D36" s="29">
        <f>IFERROR(D35/Revenue!D$48,0)</f>
        <v>-0.95849979285983511</v>
      </c>
      <c r="E36" s="29">
        <f>IFERROR(E35/Revenue!E$48,0)</f>
        <v>-0.90325163048783863</v>
      </c>
      <c r="F36" s="29">
        <f>IFERROR(F35/Revenue!F$48,0)</f>
        <v>-0.84535468763409993</v>
      </c>
      <c r="G36" s="29">
        <f>IFERROR(G35/Revenue!G$48,0)</f>
        <v>-0.78528619010511869</v>
      </c>
      <c r="H36" s="29">
        <f>IFERROR(H35/Revenue!H$48,0)</f>
        <v>-0.72436972393179622</v>
      </c>
      <c r="I36" s="29">
        <f>IFERROR(I35/Revenue!I$48,0)</f>
        <v>-0.66364301087178579</v>
      </c>
      <c r="J36" s="29">
        <f>IFERROR(J35/Revenue!J$48,0)</f>
        <v>-0.60389261669150829</v>
      </c>
      <c r="K36" s="29">
        <f>IFERROR(K35/Revenue!K$48,0)</f>
        <v>-0.54569299558599871</v>
      </c>
      <c r="L36" s="29">
        <f>IFERROR(L35/Revenue!L$48,0)</f>
        <v>-0.48944501377966509</v>
      </c>
      <c r="M36" s="29">
        <f>IFERROR(M35/Revenue!M$48,0)</f>
        <v>-0.43541117174947153</v>
      </c>
      <c r="N36" s="29">
        <f>IFERROR(N35/Revenue!N$48,0)</f>
        <v>-0.38374622307808925</v>
      </c>
    </row>
    <row r="37" spans="2:14" ht="13.5" customHeight="1" x14ac:dyDescent="0.2">
      <c r="B37" s="19" t="s">
        <v>263</v>
      </c>
      <c r="C37" s="31">
        <f t="shared" ref="C37:N37" si="5">C25+C32</f>
        <v>1142.7887499999999</v>
      </c>
      <c r="D37" s="31">
        <f t="shared" si="5"/>
        <v>1178.2595175000001</v>
      </c>
      <c r="E37" s="31">
        <f t="shared" si="5"/>
        <v>1213.5174603949999</v>
      </c>
      <c r="F37" s="31">
        <f t="shared" si="5"/>
        <v>1248.5638556326301</v>
      </c>
      <c r="G37" s="31">
        <f t="shared" si="5"/>
        <v>1283.3999724988344</v>
      </c>
      <c r="H37" s="31">
        <f t="shared" si="5"/>
        <v>1318.027072663841</v>
      </c>
      <c r="I37" s="31">
        <f t="shared" si="5"/>
        <v>1352.4464102278582</v>
      </c>
      <c r="J37" s="31">
        <f t="shared" si="5"/>
        <v>1386.6592317664908</v>
      </c>
      <c r="K37" s="31">
        <f t="shared" si="5"/>
        <v>1420.6667763758919</v>
      </c>
      <c r="L37" s="31">
        <f t="shared" si="5"/>
        <v>1454.4702757176365</v>
      </c>
      <c r="M37" s="31">
        <f t="shared" si="5"/>
        <v>1488.0709540633309</v>
      </c>
      <c r="N37" s="31">
        <f t="shared" si="5"/>
        <v>1521.4700283389509</v>
      </c>
    </row>
    <row r="38" spans="2:14" ht="13.5" customHeight="1" x14ac:dyDescent="0.2">
      <c r="B38" s="19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2:14" ht="13.5" customHeight="1" x14ac:dyDescent="0.2">
      <c r="B39" s="19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</row>
    <row r="40" spans="2:14" ht="13.5" customHeight="1" x14ac:dyDescent="0.2">
      <c r="B40" s="19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</row>
    <row r="41" spans="2:14" ht="13.5" customHeight="1" x14ac:dyDescent="0.2">
      <c r="B41" s="19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</row>
    <row r="42" spans="2:14" ht="13.5" customHeight="1" x14ac:dyDescent="0.2">
      <c r="B42" s="19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</row>
    <row r="43" spans="2:14" ht="13.5" customHeight="1" x14ac:dyDescent="0.2">
      <c r="B43" s="19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</row>
    <row r="44" spans="2:14" ht="13.5" customHeight="1" x14ac:dyDescent="0.2">
      <c r="B44" s="19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</row>
    <row r="45" spans="2:14" ht="13.5" customHeight="1" x14ac:dyDescent="0.2"/>
    <row r="46" spans="2:14" ht="13.5" customHeight="1" x14ac:dyDescent="0.2"/>
    <row r="47" spans="2:14" ht="13.5" customHeight="1" x14ac:dyDescent="0.2"/>
    <row r="48" spans="2:14" ht="13.5" customHeight="1" x14ac:dyDescent="0.2"/>
    <row r="49" s="51" customFormat="1" ht="13.5" customHeight="1" x14ac:dyDescent="0.2"/>
    <row r="50" s="51" customFormat="1" ht="13.5" customHeight="1" x14ac:dyDescent="0.2"/>
    <row r="51" s="51" customFormat="1" ht="13.5" customHeight="1" x14ac:dyDescent="0.2"/>
    <row r="52" s="51" customFormat="1" ht="13.5" customHeight="1" x14ac:dyDescent="0.2"/>
    <row r="53" s="51" customFormat="1" ht="13.5" customHeight="1" x14ac:dyDescent="0.2"/>
    <row r="54" s="51" customFormat="1" ht="13.5" customHeight="1" x14ac:dyDescent="0.2"/>
    <row r="55" s="51" customFormat="1" ht="13.5" customHeight="1" x14ac:dyDescent="0.2"/>
    <row r="56" s="51" customFormat="1" ht="13.5" customHeight="1" x14ac:dyDescent="0.2"/>
    <row r="57" s="51" customFormat="1" ht="13.5" customHeight="1" x14ac:dyDescent="0.2"/>
    <row r="58" s="51" customFormat="1" ht="13.5" customHeight="1" x14ac:dyDescent="0.2"/>
    <row r="59" s="51" customFormat="1" ht="13.5" customHeight="1" x14ac:dyDescent="0.2"/>
    <row r="60" s="51" customFormat="1" ht="13.5" customHeight="1" x14ac:dyDescent="0.2"/>
    <row r="61" s="51" customFormat="1" ht="13.5" customHeight="1" x14ac:dyDescent="0.2"/>
    <row r="62" s="51" customFormat="1" ht="13.5" customHeight="1" x14ac:dyDescent="0.2"/>
    <row r="63" s="51" customFormat="1" ht="13.5" customHeight="1" x14ac:dyDescent="0.2"/>
    <row r="64" s="51" customFormat="1" ht="13.5" customHeight="1" x14ac:dyDescent="0.2"/>
    <row r="65" s="51" customFormat="1" ht="13.5" customHeight="1" x14ac:dyDescent="0.2"/>
    <row r="66" s="51" customFormat="1" ht="13.5" customHeight="1" x14ac:dyDescent="0.2"/>
    <row r="67" s="51" customFormat="1" ht="13.5" customHeight="1" x14ac:dyDescent="0.2"/>
    <row r="68" s="51" customFormat="1" ht="13.5" customHeight="1" x14ac:dyDescent="0.2"/>
    <row r="69" s="51" customFormat="1" ht="13.5" customHeight="1" x14ac:dyDescent="0.2"/>
    <row r="70" s="51" customFormat="1" ht="13.5" customHeight="1" x14ac:dyDescent="0.2"/>
    <row r="71" s="51" customFormat="1" ht="13.5" customHeight="1" x14ac:dyDescent="0.2"/>
    <row r="72" s="51" customFormat="1" ht="13.5" customHeight="1" x14ac:dyDescent="0.2"/>
    <row r="73" s="51" customFormat="1" ht="13.5" customHeight="1" x14ac:dyDescent="0.2"/>
    <row r="74" s="51" customFormat="1" ht="13.5" customHeight="1" x14ac:dyDescent="0.2"/>
    <row r="75" s="51" customFormat="1" ht="13.5" customHeight="1" x14ac:dyDescent="0.2"/>
    <row r="76" s="51" customFormat="1" ht="13.5" customHeight="1" x14ac:dyDescent="0.2"/>
    <row r="77" s="51" customFormat="1" ht="13.5" customHeight="1" x14ac:dyDescent="0.2"/>
    <row r="78" s="51" customFormat="1" ht="13.5" customHeight="1" x14ac:dyDescent="0.2"/>
    <row r="79" s="51" customFormat="1" ht="13.5" customHeight="1" x14ac:dyDescent="0.2"/>
    <row r="80" s="51" customFormat="1" ht="13.5" customHeight="1" x14ac:dyDescent="0.2"/>
    <row r="81" s="51" customFormat="1" ht="13.5" customHeight="1" x14ac:dyDescent="0.2"/>
    <row r="82" s="51" customFormat="1" ht="13.5" customHeight="1" x14ac:dyDescent="0.2"/>
    <row r="83" s="51" customFormat="1" ht="13.5" customHeight="1" x14ac:dyDescent="0.2"/>
    <row r="84" s="51" customFormat="1" ht="13.5" customHeight="1" x14ac:dyDescent="0.2"/>
    <row r="85" s="51" customFormat="1" ht="13.5" customHeight="1" x14ac:dyDescent="0.2"/>
    <row r="86" s="51" customFormat="1" ht="13.5" customHeight="1" x14ac:dyDescent="0.2"/>
    <row r="87" s="51" customFormat="1" ht="13.5" customHeight="1" x14ac:dyDescent="0.2"/>
    <row r="88" s="51" customFormat="1" ht="13.5" customHeight="1" x14ac:dyDescent="0.2"/>
    <row r="89" s="51" customFormat="1" ht="13.5" customHeight="1" x14ac:dyDescent="0.2"/>
    <row r="90" s="51" customFormat="1" ht="13.5" customHeight="1" x14ac:dyDescent="0.2"/>
    <row r="91" s="51" customFormat="1" ht="13.5" customHeight="1" x14ac:dyDescent="0.2"/>
    <row r="92" s="51" customFormat="1" ht="13.5" customHeight="1" x14ac:dyDescent="0.2"/>
    <row r="93" s="51" customFormat="1" ht="13.5" customHeight="1" x14ac:dyDescent="0.2"/>
    <row r="94" s="51" customFormat="1" ht="13.5" customHeight="1" x14ac:dyDescent="0.2"/>
    <row r="95" s="51" customFormat="1" ht="13.5" customHeight="1" x14ac:dyDescent="0.2"/>
    <row r="96" s="51" customFormat="1" ht="13.5" customHeight="1" x14ac:dyDescent="0.2"/>
    <row r="97" s="51" customFormat="1" ht="13.5" customHeight="1" x14ac:dyDescent="0.2"/>
    <row r="98" s="51" customFormat="1" ht="13.5" customHeight="1" x14ac:dyDescent="0.2"/>
    <row r="99" s="51" customFormat="1" ht="13.5" customHeight="1" x14ac:dyDescent="0.2"/>
    <row r="100" s="51" customFormat="1" ht="13.5" customHeight="1" x14ac:dyDescent="0.2"/>
    <row r="101" s="51" customFormat="1" ht="13.5" customHeight="1" x14ac:dyDescent="0.2"/>
    <row r="102" s="51" customFormat="1" ht="13.5" customHeight="1" x14ac:dyDescent="0.2"/>
    <row r="103" s="51" customFormat="1" ht="13.5" customHeight="1" x14ac:dyDescent="0.2"/>
    <row r="104" s="51" customFormat="1" ht="13.5" customHeight="1" x14ac:dyDescent="0.2"/>
    <row r="105" s="51" customFormat="1" ht="13.5" customHeight="1" x14ac:dyDescent="0.2"/>
    <row r="106" s="51" customFormat="1" ht="13.5" customHeight="1" x14ac:dyDescent="0.2"/>
    <row r="107" s="51" customFormat="1" ht="13.5" customHeight="1" x14ac:dyDescent="0.2"/>
    <row r="108" s="51" customFormat="1" ht="13.5" customHeight="1" x14ac:dyDescent="0.2"/>
    <row r="109" s="51" customFormat="1" ht="13.5" customHeight="1" x14ac:dyDescent="0.2"/>
    <row r="110" s="51" customFormat="1" ht="13.5" customHeight="1" x14ac:dyDescent="0.2"/>
    <row r="111" s="51" customFormat="1" ht="13.5" customHeight="1" x14ac:dyDescent="0.2"/>
    <row r="112" s="51" customFormat="1" ht="13.5" customHeight="1" x14ac:dyDescent="0.2"/>
    <row r="113" s="51" customFormat="1" ht="13.5" customHeight="1" x14ac:dyDescent="0.2"/>
    <row r="114" s="51" customFormat="1" ht="13.5" customHeight="1" x14ac:dyDescent="0.2"/>
    <row r="115" s="51" customFormat="1" ht="13.5" customHeight="1" x14ac:dyDescent="0.2"/>
    <row r="116" s="51" customFormat="1" ht="13.5" customHeight="1" x14ac:dyDescent="0.2"/>
    <row r="117" s="51" customFormat="1" ht="13.5" customHeight="1" x14ac:dyDescent="0.2"/>
    <row r="118" s="51" customFormat="1" ht="13.5" customHeight="1" x14ac:dyDescent="0.2"/>
    <row r="119" s="51" customFormat="1" ht="13.5" customHeight="1" x14ac:dyDescent="0.2"/>
    <row r="120" s="51" customFormat="1" ht="13.5" customHeight="1" x14ac:dyDescent="0.2"/>
    <row r="121" s="51" customFormat="1" ht="13.5" customHeight="1" x14ac:dyDescent="0.2"/>
    <row r="122" s="51" customFormat="1" ht="13.5" customHeight="1" x14ac:dyDescent="0.2"/>
    <row r="123" s="51" customFormat="1" ht="13.5" customHeight="1" x14ac:dyDescent="0.2"/>
    <row r="124" s="51" customFormat="1" ht="13.5" customHeight="1" x14ac:dyDescent="0.2"/>
    <row r="125" s="51" customFormat="1" ht="13.5" customHeight="1" x14ac:dyDescent="0.2"/>
    <row r="126" s="51" customFormat="1" ht="13.5" customHeight="1" x14ac:dyDescent="0.2"/>
    <row r="127" s="51" customFormat="1" ht="13.5" customHeight="1" x14ac:dyDescent="0.2"/>
    <row r="128" s="51" customFormat="1" ht="13.5" customHeight="1" x14ac:dyDescent="0.2"/>
    <row r="129" s="51" customFormat="1" ht="13.5" customHeight="1" x14ac:dyDescent="0.2"/>
    <row r="130" s="51" customFormat="1" ht="13.5" customHeight="1" x14ac:dyDescent="0.2"/>
    <row r="131" s="51" customFormat="1" ht="13.5" customHeight="1" x14ac:dyDescent="0.2"/>
    <row r="132" s="51" customFormat="1" ht="13.5" customHeight="1" x14ac:dyDescent="0.2"/>
    <row r="133" s="51" customFormat="1" ht="13.5" customHeight="1" x14ac:dyDescent="0.2"/>
    <row r="134" s="51" customFormat="1" ht="13.5" customHeight="1" x14ac:dyDescent="0.2"/>
    <row r="135" s="51" customFormat="1" ht="13.5" customHeight="1" x14ac:dyDescent="0.2"/>
    <row r="136" s="51" customFormat="1" ht="13.5" customHeight="1" x14ac:dyDescent="0.2"/>
    <row r="137" s="51" customFormat="1" ht="13.5" customHeight="1" x14ac:dyDescent="0.2"/>
    <row r="138" s="51" customFormat="1" ht="13.5" customHeight="1" x14ac:dyDescent="0.2"/>
    <row r="139" s="51" customFormat="1" ht="13.5" customHeight="1" x14ac:dyDescent="0.2"/>
    <row r="140" s="51" customFormat="1" ht="13.5" customHeight="1" x14ac:dyDescent="0.2"/>
    <row r="141" s="51" customFormat="1" ht="13.5" customHeight="1" x14ac:dyDescent="0.2"/>
    <row r="142" s="51" customFormat="1" ht="13.5" customHeight="1" x14ac:dyDescent="0.2"/>
    <row r="143" s="51" customFormat="1" ht="13.5" customHeight="1" x14ac:dyDescent="0.2"/>
    <row r="144" s="51" customFormat="1" ht="13.5" customHeight="1" x14ac:dyDescent="0.2"/>
    <row r="145" s="51" customFormat="1" ht="13.5" customHeight="1" x14ac:dyDescent="0.2"/>
    <row r="146" s="51" customFormat="1" ht="13.5" customHeight="1" x14ac:dyDescent="0.2"/>
    <row r="147" s="51" customFormat="1" ht="13.5" customHeight="1" x14ac:dyDescent="0.2"/>
    <row r="148" s="51" customFormat="1" ht="13.5" customHeight="1" x14ac:dyDescent="0.2"/>
    <row r="149" s="51" customFormat="1" ht="13.5" customHeight="1" x14ac:dyDescent="0.2"/>
    <row r="150" s="51" customFormat="1" ht="13.5" customHeight="1" x14ac:dyDescent="0.2"/>
    <row r="151" s="51" customFormat="1" ht="13.5" customHeight="1" x14ac:dyDescent="0.2"/>
    <row r="152" s="51" customFormat="1" ht="13.5" customHeight="1" x14ac:dyDescent="0.2"/>
    <row r="153" s="51" customFormat="1" ht="13.5" customHeight="1" x14ac:dyDescent="0.2"/>
    <row r="154" s="51" customFormat="1" ht="13.5" customHeight="1" x14ac:dyDescent="0.2"/>
    <row r="155" s="51" customFormat="1" ht="13.5" customHeight="1" x14ac:dyDescent="0.2"/>
    <row r="156" s="51" customFormat="1" ht="13.5" customHeight="1" x14ac:dyDescent="0.2"/>
    <row r="157" s="51" customFormat="1" ht="13.5" customHeight="1" x14ac:dyDescent="0.2"/>
    <row r="158" s="51" customFormat="1" ht="13.5" customHeight="1" x14ac:dyDescent="0.2"/>
    <row r="159" s="51" customFormat="1" ht="13.5" customHeight="1" x14ac:dyDescent="0.2"/>
    <row r="160" s="51" customFormat="1" ht="13.5" customHeight="1" x14ac:dyDescent="0.2"/>
    <row r="161" s="51" customFormat="1" ht="13.5" customHeight="1" x14ac:dyDescent="0.2"/>
    <row r="162" s="51" customFormat="1" ht="13.5" customHeight="1" x14ac:dyDescent="0.2"/>
    <row r="163" s="51" customFormat="1" ht="13.5" customHeight="1" x14ac:dyDescent="0.2"/>
    <row r="164" s="51" customFormat="1" ht="13.5" customHeight="1" x14ac:dyDescent="0.2"/>
    <row r="165" s="51" customFormat="1" ht="13.5" customHeight="1" x14ac:dyDescent="0.2"/>
    <row r="166" s="51" customFormat="1" ht="13.5" customHeight="1" x14ac:dyDescent="0.2"/>
    <row r="167" s="51" customFormat="1" ht="13.5" customHeight="1" x14ac:dyDescent="0.2"/>
    <row r="168" s="51" customFormat="1" ht="13.5" customHeight="1" x14ac:dyDescent="0.2"/>
    <row r="169" s="51" customFormat="1" ht="13.5" customHeight="1" x14ac:dyDescent="0.2"/>
    <row r="170" s="51" customFormat="1" ht="13.5" customHeight="1" x14ac:dyDescent="0.2"/>
    <row r="171" s="51" customFormat="1" ht="13.5" customHeight="1" x14ac:dyDescent="0.2"/>
    <row r="172" s="51" customFormat="1" ht="13.5" customHeight="1" x14ac:dyDescent="0.2"/>
    <row r="173" s="51" customFormat="1" ht="13.5" customHeight="1" x14ac:dyDescent="0.2"/>
    <row r="174" s="51" customFormat="1" ht="13.5" customHeight="1" x14ac:dyDescent="0.2"/>
    <row r="175" s="51" customFormat="1" ht="13.5" customHeight="1" x14ac:dyDescent="0.2"/>
    <row r="176" s="51" customFormat="1" ht="13.5" customHeight="1" x14ac:dyDescent="0.2"/>
    <row r="177" s="51" customFormat="1" ht="13.5" customHeight="1" x14ac:dyDescent="0.2"/>
    <row r="178" s="51" customFormat="1" ht="13.5" customHeight="1" x14ac:dyDescent="0.2"/>
    <row r="179" s="51" customFormat="1" ht="13.5" customHeight="1" x14ac:dyDescent="0.2"/>
    <row r="180" s="51" customFormat="1" ht="13.5" customHeight="1" x14ac:dyDescent="0.2"/>
    <row r="181" s="51" customFormat="1" ht="13.5" customHeight="1" x14ac:dyDescent="0.2"/>
    <row r="182" s="51" customFormat="1" ht="13.5" customHeight="1" x14ac:dyDescent="0.2"/>
    <row r="183" s="51" customFormat="1" ht="13.5" customHeight="1" x14ac:dyDescent="0.2"/>
    <row r="184" s="51" customFormat="1" ht="13.5" customHeight="1" x14ac:dyDescent="0.2"/>
    <row r="185" s="51" customFormat="1" ht="13.5" customHeight="1" x14ac:dyDescent="0.2"/>
    <row r="186" s="51" customFormat="1" ht="13.5" customHeight="1" x14ac:dyDescent="0.2"/>
    <row r="187" s="51" customFormat="1" ht="13.5" customHeight="1" x14ac:dyDescent="0.2"/>
    <row r="188" s="51" customFormat="1" ht="13.5" customHeight="1" x14ac:dyDescent="0.2"/>
    <row r="189" s="51" customFormat="1" ht="13.5" customHeight="1" x14ac:dyDescent="0.2"/>
    <row r="190" s="51" customFormat="1" ht="13.5" customHeight="1" x14ac:dyDescent="0.2"/>
    <row r="191" s="51" customFormat="1" ht="13.5" customHeight="1" x14ac:dyDescent="0.2"/>
    <row r="192" s="51" customFormat="1" ht="13.5" customHeight="1" x14ac:dyDescent="0.2"/>
    <row r="193" s="51" customFormat="1" ht="13.5" customHeight="1" x14ac:dyDescent="0.2"/>
    <row r="194" s="51" customFormat="1" ht="13.5" customHeight="1" x14ac:dyDescent="0.2"/>
    <row r="195" s="51" customFormat="1" ht="13.5" customHeight="1" x14ac:dyDescent="0.2"/>
    <row r="196" s="51" customFormat="1" ht="13.5" customHeight="1" x14ac:dyDescent="0.2"/>
    <row r="197" s="51" customFormat="1" ht="13.5" customHeight="1" x14ac:dyDescent="0.2"/>
    <row r="198" s="51" customFormat="1" ht="13.5" customHeight="1" x14ac:dyDescent="0.2"/>
    <row r="199" s="51" customFormat="1" ht="13.5" customHeight="1" x14ac:dyDescent="0.2"/>
    <row r="200" s="51" customFormat="1" ht="13.5" customHeight="1" x14ac:dyDescent="0.2"/>
    <row r="201" s="51" customFormat="1" ht="13.5" customHeight="1" x14ac:dyDescent="0.2"/>
    <row r="202" s="51" customFormat="1" ht="13.5" customHeight="1" x14ac:dyDescent="0.2"/>
    <row r="203" s="51" customFormat="1" ht="13.5" customHeight="1" x14ac:dyDescent="0.2"/>
    <row r="204" s="51" customFormat="1" ht="13.5" customHeight="1" x14ac:dyDescent="0.2"/>
    <row r="205" s="51" customFormat="1" ht="13.5" customHeight="1" x14ac:dyDescent="0.2"/>
    <row r="206" s="51" customFormat="1" ht="13.5" customHeight="1" x14ac:dyDescent="0.2"/>
    <row r="207" s="51" customFormat="1" ht="13.5" customHeight="1" x14ac:dyDescent="0.2"/>
    <row r="208" s="51" customFormat="1" ht="13.5" customHeight="1" x14ac:dyDescent="0.2"/>
    <row r="209" s="51" customFormat="1" ht="13.5" customHeight="1" x14ac:dyDescent="0.2"/>
    <row r="210" s="51" customFormat="1" ht="13.5" customHeight="1" x14ac:dyDescent="0.2"/>
    <row r="211" s="51" customFormat="1" ht="13.5" customHeight="1" x14ac:dyDescent="0.2"/>
    <row r="212" s="51" customFormat="1" ht="13.5" customHeight="1" x14ac:dyDescent="0.2"/>
    <row r="213" s="51" customFormat="1" ht="13.5" customHeight="1" x14ac:dyDescent="0.2"/>
    <row r="214" s="51" customFormat="1" ht="13.5" customHeight="1" x14ac:dyDescent="0.2"/>
    <row r="215" s="51" customFormat="1" ht="13.5" customHeight="1" x14ac:dyDescent="0.2"/>
    <row r="216" s="51" customFormat="1" ht="13.5" customHeight="1" x14ac:dyDescent="0.2"/>
    <row r="217" s="51" customFormat="1" ht="13.5" customHeight="1" x14ac:dyDescent="0.2"/>
    <row r="218" s="51" customFormat="1" ht="13.5" customHeight="1" x14ac:dyDescent="0.2"/>
    <row r="219" s="51" customFormat="1" ht="13.5" customHeight="1" x14ac:dyDescent="0.2"/>
    <row r="220" s="51" customFormat="1" ht="13.5" customHeight="1" x14ac:dyDescent="0.2"/>
    <row r="221" s="51" customFormat="1" ht="13.5" customHeight="1" x14ac:dyDescent="0.2"/>
    <row r="222" s="51" customFormat="1" ht="13.5" customHeight="1" x14ac:dyDescent="0.2"/>
    <row r="223" s="51" customFormat="1" ht="13.5" customHeight="1" x14ac:dyDescent="0.2"/>
    <row r="224" s="51" customFormat="1" ht="13.5" customHeight="1" x14ac:dyDescent="0.2"/>
    <row r="225" s="51" customFormat="1" ht="13.5" customHeight="1" x14ac:dyDescent="0.2"/>
    <row r="226" s="51" customFormat="1" ht="13.5" customHeight="1" x14ac:dyDescent="0.2"/>
    <row r="227" s="51" customFormat="1" ht="13.5" customHeight="1" x14ac:dyDescent="0.2"/>
    <row r="228" s="51" customFormat="1" ht="13.5" customHeight="1" x14ac:dyDescent="0.2"/>
    <row r="229" s="51" customFormat="1" ht="13.5" customHeight="1" x14ac:dyDescent="0.2"/>
    <row r="230" s="51" customFormat="1" ht="13.5" customHeight="1" x14ac:dyDescent="0.2"/>
    <row r="231" s="51" customFormat="1" ht="13.5" customHeight="1" x14ac:dyDescent="0.2"/>
    <row r="232" s="51" customFormat="1" ht="13.5" customHeight="1" x14ac:dyDescent="0.2"/>
    <row r="233" s="51" customFormat="1" ht="13.5" customHeight="1" x14ac:dyDescent="0.2"/>
    <row r="234" s="51" customFormat="1" ht="13.5" customHeight="1" x14ac:dyDescent="0.2"/>
    <row r="235" s="51" customFormat="1" ht="13.5" customHeight="1" x14ac:dyDescent="0.2"/>
    <row r="236" s="51" customFormat="1" ht="13.5" customHeight="1" x14ac:dyDescent="0.2"/>
    <row r="237" s="51" customFormat="1" ht="13.5" customHeight="1" x14ac:dyDescent="0.2"/>
    <row r="238" s="51" customFormat="1" ht="13.5" customHeight="1" x14ac:dyDescent="0.2"/>
    <row r="239" s="51" customFormat="1" ht="13.5" customHeight="1" x14ac:dyDescent="0.2"/>
    <row r="240" s="51" customFormat="1" ht="13.5" customHeight="1" x14ac:dyDescent="0.2"/>
    <row r="241" s="51" customFormat="1" ht="13.5" customHeight="1" x14ac:dyDescent="0.2"/>
    <row r="242" s="51" customFormat="1" ht="13.5" customHeight="1" x14ac:dyDescent="0.2"/>
    <row r="243" s="51" customFormat="1" ht="13.5" customHeight="1" x14ac:dyDescent="0.2"/>
    <row r="244" s="51" customFormat="1" ht="13.5" customHeight="1" x14ac:dyDescent="0.2"/>
    <row r="245" s="51" customFormat="1" ht="13.5" customHeight="1" x14ac:dyDescent="0.2"/>
    <row r="246" s="51" customFormat="1" ht="13.5" customHeight="1" x14ac:dyDescent="0.2"/>
    <row r="247" s="51" customFormat="1" ht="13.5" customHeight="1" x14ac:dyDescent="0.2"/>
    <row r="248" s="51" customFormat="1" ht="13.5" customHeight="1" x14ac:dyDescent="0.2"/>
    <row r="249" s="51" customFormat="1" ht="13.5" customHeight="1" x14ac:dyDescent="0.2"/>
    <row r="250" s="51" customFormat="1" ht="13.5" customHeight="1" x14ac:dyDescent="0.2"/>
    <row r="251" s="51" customFormat="1" ht="13.5" customHeight="1" x14ac:dyDescent="0.2"/>
    <row r="252" s="51" customFormat="1" ht="13.5" customHeight="1" x14ac:dyDescent="0.2"/>
    <row r="253" s="51" customFormat="1" ht="13.5" customHeight="1" x14ac:dyDescent="0.2"/>
    <row r="254" s="51" customFormat="1" ht="13.5" customHeight="1" x14ac:dyDescent="0.2"/>
    <row r="255" s="51" customFormat="1" ht="13.5" customHeight="1" x14ac:dyDescent="0.2"/>
    <row r="256" s="51" customFormat="1" ht="13.5" customHeight="1" x14ac:dyDescent="0.2"/>
    <row r="257" s="51" customFormat="1" ht="13.5" customHeight="1" x14ac:dyDescent="0.2"/>
    <row r="258" s="51" customFormat="1" ht="13.5" customHeight="1" x14ac:dyDescent="0.2"/>
    <row r="259" s="51" customFormat="1" ht="13.5" customHeight="1" x14ac:dyDescent="0.2"/>
    <row r="260" s="51" customFormat="1" ht="13.5" customHeight="1" x14ac:dyDescent="0.2"/>
    <row r="261" s="51" customFormat="1" ht="13.5" customHeight="1" x14ac:dyDescent="0.2"/>
    <row r="262" s="51" customFormat="1" ht="13.5" customHeight="1" x14ac:dyDescent="0.2"/>
    <row r="263" s="51" customFormat="1" ht="13.5" customHeight="1" x14ac:dyDescent="0.2"/>
    <row r="264" s="51" customFormat="1" ht="13.5" customHeight="1" x14ac:dyDescent="0.2"/>
    <row r="265" s="51" customFormat="1" ht="13.5" customHeight="1" x14ac:dyDescent="0.2"/>
    <row r="266" s="51" customFormat="1" ht="13.5" customHeight="1" x14ac:dyDescent="0.2"/>
    <row r="267" s="51" customFormat="1" ht="13.5" customHeight="1" x14ac:dyDescent="0.2"/>
    <row r="268" s="51" customFormat="1" ht="13.5" customHeight="1" x14ac:dyDescent="0.2"/>
    <row r="269" s="51" customFormat="1" ht="13.5" customHeight="1" x14ac:dyDescent="0.2"/>
    <row r="270" s="51" customFormat="1" ht="13.5" customHeight="1" x14ac:dyDescent="0.2"/>
    <row r="271" s="51" customFormat="1" ht="13.5" customHeight="1" x14ac:dyDescent="0.2"/>
    <row r="272" s="51" customFormat="1" ht="13.5" customHeight="1" x14ac:dyDescent="0.2"/>
    <row r="273" s="51" customFormat="1" ht="13.5" customHeight="1" x14ac:dyDescent="0.2"/>
    <row r="274" s="51" customFormat="1" ht="13.5" customHeight="1" x14ac:dyDescent="0.2"/>
    <row r="275" s="51" customFormat="1" ht="13.5" customHeight="1" x14ac:dyDescent="0.2"/>
    <row r="276" s="51" customFormat="1" ht="13.5" customHeight="1" x14ac:dyDescent="0.2"/>
    <row r="277" s="51" customFormat="1" ht="13.5" customHeight="1" x14ac:dyDescent="0.2"/>
    <row r="278" s="51" customFormat="1" ht="13.5" customHeight="1" x14ac:dyDescent="0.2"/>
    <row r="279" s="51" customFormat="1" ht="13.5" customHeight="1" x14ac:dyDescent="0.2"/>
    <row r="280" s="51" customFormat="1" ht="13.5" customHeight="1" x14ac:dyDescent="0.2"/>
    <row r="281" s="51" customFormat="1" ht="13.5" customHeight="1" x14ac:dyDescent="0.2"/>
    <row r="282" s="51" customFormat="1" ht="13.5" customHeight="1" x14ac:dyDescent="0.2"/>
    <row r="283" s="51" customFormat="1" ht="13.5" customHeight="1" x14ac:dyDescent="0.2"/>
    <row r="284" s="51" customFormat="1" ht="13.5" customHeight="1" x14ac:dyDescent="0.2"/>
    <row r="285" s="51" customFormat="1" ht="13.5" customHeight="1" x14ac:dyDescent="0.2"/>
    <row r="286" s="51" customFormat="1" ht="13.5" customHeight="1" x14ac:dyDescent="0.2"/>
    <row r="287" s="51" customFormat="1" ht="13.5" customHeight="1" x14ac:dyDescent="0.2"/>
    <row r="288" s="51" customFormat="1" ht="13.5" customHeight="1" x14ac:dyDescent="0.2"/>
    <row r="289" s="51" customFormat="1" ht="13.5" customHeight="1" x14ac:dyDescent="0.2"/>
    <row r="290" s="51" customFormat="1" ht="13.5" customHeight="1" x14ac:dyDescent="0.2"/>
    <row r="291" s="51" customFormat="1" ht="13.5" customHeight="1" x14ac:dyDescent="0.2"/>
    <row r="292" s="51" customFormat="1" ht="13.5" customHeight="1" x14ac:dyDescent="0.2"/>
    <row r="293" s="51" customFormat="1" ht="13.5" customHeight="1" x14ac:dyDescent="0.2"/>
    <row r="294" s="51" customFormat="1" ht="13.5" customHeight="1" x14ac:dyDescent="0.2"/>
    <row r="295" s="51" customFormat="1" ht="13.5" customHeight="1" x14ac:dyDescent="0.2"/>
    <row r="296" s="51" customFormat="1" ht="13.5" customHeight="1" x14ac:dyDescent="0.2"/>
    <row r="297" s="51" customFormat="1" ht="13.5" customHeight="1" x14ac:dyDescent="0.2"/>
    <row r="298" s="51" customFormat="1" ht="13.5" customHeight="1" x14ac:dyDescent="0.2"/>
    <row r="299" s="51" customFormat="1" ht="13.5" customHeight="1" x14ac:dyDescent="0.2"/>
    <row r="300" s="51" customFormat="1" ht="13.5" customHeight="1" x14ac:dyDescent="0.2"/>
    <row r="301" s="51" customFormat="1" ht="13.5" customHeight="1" x14ac:dyDescent="0.2"/>
    <row r="302" s="51" customFormat="1" ht="13.5" customHeight="1" x14ac:dyDescent="0.2"/>
    <row r="303" s="51" customFormat="1" ht="13.5" customHeight="1" x14ac:dyDescent="0.2"/>
    <row r="304" s="51" customFormat="1" ht="13.5" customHeight="1" x14ac:dyDescent="0.2"/>
    <row r="305" s="51" customFormat="1" ht="13.5" customHeight="1" x14ac:dyDescent="0.2"/>
    <row r="306" s="51" customFormat="1" ht="13.5" customHeight="1" x14ac:dyDescent="0.2"/>
    <row r="307" s="51" customFormat="1" ht="13.5" customHeight="1" x14ac:dyDescent="0.2"/>
    <row r="308" s="51" customFormat="1" ht="13.5" customHeight="1" x14ac:dyDescent="0.2"/>
    <row r="309" s="51" customFormat="1" ht="13.5" customHeight="1" x14ac:dyDescent="0.2"/>
    <row r="310" s="51" customFormat="1" ht="13.5" customHeight="1" x14ac:dyDescent="0.2"/>
    <row r="311" s="51" customFormat="1" ht="13.5" customHeight="1" x14ac:dyDescent="0.2"/>
    <row r="312" s="51" customFormat="1" ht="13.5" customHeight="1" x14ac:dyDescent="0.2"/>
    <row r="313" s="51" customFormat="1" ht="13.5" customHeight="1" x14ac:dyDescent="0.2"/>
    <row r="314" s="51" customFormat="1" ht="13.5" customHeight="1" x14ac:dyDescent="0.2"/>
    <row r="315" s="51" customFormat="1" ht="13.5" customHeight="1" x14ac:dyDescent="0.2"/>
    <row r="316" s="51" customFormat="1" ht="13.5" customHeight="1" x14ac:dyDescent="0.2"/>
    <row r="317" s="51" customFormat="1" ht="13.5" customHeight="1" x14ac:dyDescent="0.2"/>
    <row r="318" s="51" customFormat="1" ht="13.5" customHeight="1" x14ac:dyDescent="0.2"/>
    <row r="319" s="51" customFormat="1" ht="13.5" customHeight="1" x14ac:dyDescent="0.2"/>
    <row r="320" s="51" customFormat="1" ht="13.5" customHeight="1" x14ac:dyDescent="0.2"/>
    <row r="321" s="51" customFormat="1" ht="13.5" customHeight="1" x14ac:dyDescent="0.2"/>
    <row r="322" s="51" customFormat="1" ht="13.5" customHeight="1" x14ac:dyDescent="0.2"/>
    <row r="323" s="51" customFormat="1" ht="13.5" customHeight="1" x14ac:dyDescent="0.2"/>
    <row r="324" s="51" customFormat="1" ht="13.5" customHeight="1" x14ac:dyDescent="0.2"/>
    <row r="325" s="51" customFormat="1" ht="13.5" customHeight="1" x14ac:dyDescent="0.2"/>
    <row r="326" s="51" customFormat="1" ht="13.5" customHeight="1" x14ac:dyDescent="0.2"/>
    <row r="327" s="51" customFormat="1" ht="13.5" customHeight="1" x14ac:dyDescent="0.2"/>
    <row r="328" s="51" customFormat="1" ht="13.5" customHeight="1" x14ac:dyDescent="0.2"/>
    <row r="329" s="51" customFormat="1" ht="13.5" customHeight="1" x14ac:dyDescent="0.2"/>
    <row r="330" s="51" customFormat="1" ht="13.5" customHeight="1" x14ac:dyDescent="0.2"/>
    <row r="331" s="51" customFormat="1" ht="13.5" customHeight="1" x14ac:dyDescent="0.2"/>
    <row r="332" s="51" customFormat="1" ht="13.5" customHeight="1" x14ac:dyDescent="0.2"/>
    <row r="333" s="51" customFormat="1" ht="13.5" customHeight="1" x14ac:dyDescent="0.2"/>
    <row r="334" s="51" customFormat="1" ht="13.5" customHeight="1" x14ac:dyDescent="0.2"/>
    <row r="335" s="51" customFormat="1" ht="13.5" customHeight="1" x14ac:dyDescent="0.2"/>
    <row r="336" s="51" customFormat="1" ht="13.5" customHeight="1" x14ac:dyDescent="0.2"/>
    <row r="337" s="51" customFormat="1" ht="13.5" customHeight="1" x14ac:dyDescent="0.2"/>
    <row r="338" s="51" customFormat="1" ht="13.5" customHeight="1" x14ac:dyDescent="0.2"/>
    <row r="339" s="51" customFormat="1" ht="13.5" customHeight="1" x14ac:dyDescent="0.2"/>
    <row r="340" s="51" customFormat="1" ht="13.5" customHeight="1" x14ac:dyDescent="0.2"/>
    <row r="341" s="51" customFormat="1" ht="13.5" customHeight="1" x14ac:dyDescent="0.2"/>
    <row r="342" s="51" customFormat="1" ht="13.5" customHeight="1" x14ac:dyDescent="0.2"/>
    <row r="343" s="51" customFormat="1" ht="13.5" customHeight="1" x14ac:dyDescent="0.2"/>
    <row r="344" s="51" customFormat="1" ht="13.5" customHeight="1" x14ac:dyDescent="0.2"/>
    <row r="345" s="51" customFormat="1" ht="13.5" customHeight="1" x14ac:dyDescent="0.2"/>
    <row r="346" s="51" customFormat="1" ht="13.5" customHeight="1" x14ac:dyDescent="0.2"/>
    <row r="347" s="51" customFormat="1" ht="13.5" customHeight="1" x14ac:dyDescent="0.2"/>
    <row r="348" s="51" customFormat="1" ht="13.5" customHeight="1" x14ac:dyDescent="0.2"/>
    <row r="349" s="51" customFormat="1" ht="13.5" customHeight="1" x14ac:dyDescent="0.2"/>
    <row r="350" s="51" customFormat="1" ht="13.5" customHeight="1" x14ac:dyDescent="0.2"/>
    <row r="351" s="51" customFormat="1" ht="13.5" customHeight="1" x14ac:dyDescent="0.2"/>
    <row r="352" s="51" customFormat="1" ht="13.5" customHeight="1" x14ac:dyDescent="0.2"/>
    <row r="353" s="51" customFormat="1" ht="13.5" customHeight="1" x14ac:dyDescent="0.2"/>
    <row r="354" s="51" customFormat="1" ht="13.5" customHeight="1" x14ac:dyDescent="0.2"/>
    <row r="355" s="51" customFormat="1" ht="13.5" customHeight="1" x14ac:dyDescent="0.2"/>
    <row r="356" s="51" customFormat="1" ht="13.5" customHeight="1" x14ac:dyDescent="0.2"/>
    <row r="357" s="51" customFormat="1" ht="13.5" customHeight="1" x14ac:dyDescent="0.2"/>
    <row r="358" s="51" customFormat="1" ht="13.5" customHeight="1" x14ac:dyDescent="0.2"/>
    <row r="359" s="51" customFormat="1" ht="13.5" customHeight="1" x14ac:dyDescent="0.2"/>
    <row r="360" s="51" customFormat="1" ht="13.5" customHeight="1" x14ac:dyDescent="0.2"/>
    <row r="361" s="51" customFormat="1" ht="13.5" customHeight="1" x14ac:dyDescent="0.2"/>
    <row r="362" s="51" customFormat="1" ht="13.5" customHeight="1" x14ac:dyDescent="0.2"/>
    <row r="363" s="51" customFormat="1" ht="13.5" customHeight="1" x14ac:dyDescent="0.2"/>
    <row r="364" s="51" customFormat="1" ht="13.5" customHeight="1" x14ac:dyDescent="0.2"/>
    <row r="365" s="51" customFormat="1" ht="13.5" customHeight="1" x14ac:dyDescent="0.2"/>
    <row r="366" s="51" customFormat="1" ht="13.5" customHeight="1" x14ac:dyDescent="0.2"/>
    <row r="367" s="51" customFormat="1" ht="13.5" customHeight="1" x14ac:dyDescent="0.2"/>
    <row r="368" s="51" customFormat="1" ht="13.5" customHeight="1" x14ac:dyDescent="0.2"/>
    <row r="369" s="51" customFormat="1" ht="13.5" customHeight="1" x14ac:dyDescent="0.2"/>
    <row r="370" s="51" customFormat="1" ht="13.5" customHeight="1" x14ac:dyDescent="0.2"/>
    <row r="371" s="51" customFormat="1" ht="13.5" customHeight="1" x14ac:dyDescent="0.2"/>
    <row r="372" s="51" customFormat="1" ht="13.5" customHeight="1" x14ac:dyDescent="0.2"/>
    <row r="373" s="51" customFormat="1" ht="13.5" customHeight="1" x14ac:dyDescent="0.2"/>
    <row r="374" s="51" customFormat="1" ht="13.5" customHeight="1" x14ac:dyDescent="0.2"/>
    <row r="375" s="51" customFormat="1" ht="13.5" customHeight="1" x14ac:dyDescent="0.2"/>
    <row r="376" s="51" customFormat="1" ht="13.5" customHeight="1" x14ac:dyDescent="0.2"/>
    <row r="377" s="51" customFormat="1" ht="13.5" customHeight="1" x14ac:dyDescent="0.2"/>
    <row r="378" s="51" customFormat="1" ht="13.5" customHeight="1" x14ac:dyDescent="0.2"/>
    <row r="379" s="51" customFormat="1" ht="13.5" customHeight="1" x14ac:dyDescent="0.2"/>
    <row r="380" s="51" customFormat="1" ht="13.5" customHeight="1" x14ac:dyDescent="0.2"/>
    <row r="381" s="51" customFormat="1" ht="13.5" customHeight="1" x14ac:dyDescent="0.2"/>
    <row r="382" s="51" customFormat="1" ht="13.5" customHeight="1" x14ac:dyDescent="0.2"/>
    <row r="383" s="51" customFormat="1" ht="13.5" customHeight="1" x14ac:dyDescent="0.2"/>
    <row r="384" s="51" customFormat="1" ht="13.5" customHeight="1" x14ac:dyDescent="0.2"/>
    <row r="385" s="51" customFormat="1" ht="13.5" customHeight="1" x14ac:dyDescent="0.2"/>
    <row r="386" s="51" customFormat="1" ht="13.5" customHeight="1" x14ac:dyDescent="0.2"/>
    <row r="387" s="51" customFormat="1" ht="13.5" customHeight="1" x14ac:dyDescent="0.2"/>
    <row r="388" s="51" customFormat="1" ht="13.5" customHeight="1" x14ac:dyDescent="0.2"/>
    <row r="389" s="51" customFormat="1" ht="13.5" customHeight="1" x14ac:dyDescent="0.2"/>
    <row r="390" s="51" customFormat="1" ht="13.5" customHeight="1" x14ac:dyDescent="0.2"/>
    <row r="391" s="51" customFormat="1" ht="13.5" customHeight="1" x14ac:dyDescent="0.2"/>
    <row r="392" s="51" customFormat="1" ht="13.5" customHeight="1" x14ac:dyDescent="0.2"/>
    <row r="393" s="51" customFormat="1" ht="13.5" customHeight="1" x14ac:dyDescent="0.2"/>
    <row r="394" s="51" customFormat="1" ht="13.5" customHeight="1" x14ac:dyDescent="0.2"/>
    <row r="395" s="51" customFormat="1" ht="13.5" customHeight="1" x14ac:dyDescent="0.2"/>
    <row r="396" s="51" customFormat="1" ht="13.5" customHeight="1" x14ac:dyDescent="0.2"/>
    <row r="397" s="51" customFormat="1" ht="13.5" customHeight="1" x14ac:dyDescent="0.2"/>
    <row r="398" s="51" customFormat="1" ht="13.5" customHeight="1" x14ac:dyDescent="0.2"/>
    <row r="399" s="51" customFormat="1" ht="13.5" customHeight="1" x14ac:dyDescent="0.2"/>
    <row r="400" s="51" customFormat="1" ht="13.5" customHeight="1" x14ac:dyDescent="0.2"/>
    <row r="401" s="51" customFormat="1" ht="13.5" customHeight="1" x14ac:dyDescent="0.2"/>
    <row r="402" s="51" customFormat="1" ht="13.5" customHeight="1" x14ac:dyDescent="0.2"/>
    <row r="403" s="51" customFormat="1" ht="13.5" customHeight="1" x14ac:dyDescent="0.2"/>
    <row r="404" s="51" customFormat="1" ht="13.5" customHeight="1" x14ac:dyDescent="0.2"/>
    <row r="405" s="51" customFormat="1" ht="13.5" customHeight="1" x14ac:dyDescent="0.2"/>
    <row r="406" s="51" customFormat="1" ht="13.5" customHeight="1" x14ac:dyDescent="0.2"/>
    <row r="407" s="51" customFormat="1" ht="13.5" customHeight="1" x14ac:dyDescent="0.2"/>
    <row r="408" s="51" customFormat="1" ht="13.5" customHeight="1" x14ac:dyDescent="0.2"/>
    <row r="409" s="51" customFormat="1" ht="13.5" customHeight="1" x14ac:dyDescent="0.2"/>
    <row r="410" s="51" customFormat="1" ht="13.5" customHeight="1" x14ac:dyDescent="0.2"/>
    <row r="411" s="51" customFormat="1" ht="13.5" customHeight="1" x14ac:dyDescent="0.2"/>
    <row r="412" s="51" customFormat="1" ht="13.5" customHeight="1" x14ac:dyDescent="0.2"/>
    <row r="413" s="51" customFormat="1" ht="13.5" customHeight="1" x14ac:dyDescent="0.2"/>
    <row r="414" s="51" customFormat="1" ht="13.5" customHeight="1" x14ac:dyDescent="0.2"/>
    <row r="415" s="51" customFormat="1" ht="13.5" customHeight="1" x14ac:dyDescent="0.2"/>
    <row r="416" s="51" customFormat="1" ht="13.5" customHeight="1" x14ac:dyDescent="0.2"/>
    <row r="417" s="51" customFormat="1" ht="13.5" customHeight="1" x14ac:dyDescent="0.2"/>
    <row r="418" s="51" customFormat="1" ht="13.5" customHeight="1" x14ac:dyDescent="0.2"/>
    <row r="419" s="51" customFormat="1" ht="13.5" customHeight="1" x14ac:dyDescent="0.2"/>
    <row r="420" s="51" customFormat="1" ht="13.5" customHeight="1" x14ac:dyDescent="0.2"/>
    <row r="421" s="51" customFormat="1" ht="13.5" customHeight="1" x14ac:dyDescent="0.2"/>
    <row r="422" s="51" customFormat="1" ht="13.5" customHeight="1" x14ac:dyDescent="0.2"/>
    <row r="423" s="51" customFormat="1" ht="13.5" customHeight="1" x14ac:dyDescent="0.2"/>
    <row r="424" s="51" customFormat="1" ht="13.5" customHeight="1" x14ac:dyDescent="0.2"/>
    <row r="425" s="51" customFormat="1" ht="13.5" customHeight="1" x14ac:dyDescent="0.2"/>
    <row r="426" s="51" customFormat="1" ht="13.5" customHeight="1" x14ac:dyDescent="0.2"/>
    <row r="427" s="51" customFormat="1" ht="13.5" customHeight="1" x14ac:dyDescent="0.2"/>
    <row r="428" s="51" customFormat="1" ht="13.5" customHeight="1" x14ac:dyDescent="0.2"/>
    <row r="429" s="51" customFormat="1" ht="13.5" customHeight="1" x14ac:dyDescent="0.2"/>
    <row r="430" s="51" customFormat="1" ht="13.5" customHeight="1" x14ac:dyDescent="0.2"/>
    <row r="431" s="51" customFormat="1" ht="13.5" customHeight="1" x14ac:dyDescent="0.2"/>
    <row r="432" s="51" customFormat="1" ht="13.5" customHeight="1" x14ac:dyDescent="0.2"/>
    <row r="433" s="51" customFormat="1" ht="13.5" customHeight="1" x14ac:dyDescent="0.2"/>
    <row r="434" s="51" customFormat="1" ht="13.5" customHeight="1" x14ac:dyDescent="0.2"/>
    <row r="435" s="51" customFormat="1" ht="13.5" customHeight="1" x14ac:dyDescent="0.2"/>
    <row r="436" s="51" customFormat="1" ht="13.5" customHeight="1" x14ac:dyDescent="0.2"/>
    <row r="437" s="51" customFormat="1" ht="13.5" customHeight="1" x14ac:dyDescent="0.2"/>
    <row r="438" s="51" customFormat="1" ht="13.5" customHeight="1" x14ac:dyDescent="0.2"/>
    <row r="439" s="51" customFormat="1" ht="13.5" customHeight="1" x14ac:dyDescent="0.2"/>
    <row r="440" s="51" customFormat="1" ht="13.5" customHeight="1" x14ac:dyDescent="0.2"/>
    <row r="441" s="51" customFormat="1" ht="13.5" customHeight="1" x14ac:dyDescent="0.2"/>
    <row r="442" s="51" customFormat="1" ht="13.5" customHeight="1" x14ac:dyDescent="0.2"/>
    <row r="443" s="51" customFormat="1" ht="13.5" customHeight="1" x14ac:dyDescent="0.2"/>
    <row r="444" s="51" customFormat="1" ht="13.5" customHeight="1" x14ac:dyDescent="0.2"/>
    <row r="445" s="51" customFormat="1" ht="13.5" customHeight="1" x14ac:dyDescent="0.2"/>
    <row r="446" s="51" customFormat="1" ht="13.5" customHeight="1" x14ac:dyDescent="0.2"/>
    <row r="447" s="51" customFormat="1" ht="13.5" customHeight="1" x14ac:dyDescent="0.2"/>
    <row r="448" s="51" customFormat="1" ht="13.5" customHeight="1" x14ac:dyDescent="0.2"/>
    <row r="449" s="51" customFormat="1" ht="13.5" customHeight="1" x14ac:dyDescent="0.2"/>
    <row r="450" s="51" customFormat="1" ht="13.5" customHeight="1" x14ac:dyDescent="0.2"/>
    <row r="451" s="51" customFormat="1" ht="13.5" customHeight="1" x14ac:dyDescent="0.2"/>
    <row r="452" s="51" customFormat="1" ht="13.5" customHeight="1" x14ac:dyDescent="0.2"/>
    <row r="453" s="51" customFormat="1" ht="13.5" customHeight="1" x14ac:dyDescent="0.2"/>
    <row r="454" s="51" customFormat="1" ht="13.5" customHeight="1" x14ac:dyDescent="0.2"/>
    <row r="455" s="51" customFormat="1" ht="13.5" customHeight="1" x14ac:dyDescent="0.2"/>
    <row r="456" s="51" customFormat="1" ht="13.5" customHeight="1" x14ac:dyDescent="0.2"/>
    <row r="457" s="51" customFormat="1" ht="13.5" customHeight="1" x14ac:dyDescent="0.2"/>
    <row r="458" s="51" customFormat="1" ht="13.5" customHeight="1" x14ac:dyDescent="0.2"/>
    <row r="459" s="51" customFormat="1" ht="13.5" customHeight="1" x14ac:dyDescent="0.2"/>
    <row r="460" s="51" customFormat="1" ht="13.5" customHeight="1" x14ac:dyDescent="0.2"/>
    <row r="461" s="51" customFormat="1" ht="13.5" customHeight="1" x14ac:dyDescent="0.2"/>
    <row r="462" s="51" customFormat="1" ht="13.5" customHeight="1" x14ac:dyDescent="0.2"/>
    <row r="463" s="51" customFormat="1" ht="13.5" customHeight="1" x14ac:dyDescent="0.2"/>
    <row r="464" s="51" customFormat="1" ht="13.5" customHeight="1" x14ac:dyDescent="0.2"/>
    <row r="465" s="51" customFormat="1" ht="13.5" customHeight="1" x14ac:dyDescent="0.2"/>
    <row r="466" s="51" customFormat="1" ht="13.5" customHeight="1" x14ac:dyDescent="0.2"/>
    <row r="467" s="51" customFormat="1" ht="13.5" customHeight="1" x14ac:dyDescent="0.2"/>
    <row r="468" s="51" customFormat="1" ht="13.5" customHeight="1" x14ac:dyDescent="0.2"/>
    <row r="469" s="51" customFormat="1" ht="13.5" customHeight="1" x14ac:dyDescent="0.2"/>
    <row r="470" s="51" customFormat="1" ht="13.5" customHeight="1" x14ac:dyDescent="0.2"/>
    <row r="471" s="51" customFormat="1" ht="13.5" customHeight="1" x14ac:dyDescent="0.2"/>
    <row r="472" s="51" customFormat="1" ht="13.5" customHeight="1" x14ac:dyDescent="0.2"/>
    <row r="473" s="51" customFormat="1" ht="13.5" customHeight="1" x14ac:dyDescent="0.2"/>
    <row r="474" s="51" customFormat="1" ht="13.5" customHeight="1" x14ac:dyDescent="0.2"/>
    <row r="475" s="51" customFormat="1" ht="13.5" customHeight="1" x14ac:dyDescent="0.2"/>
    <row r="476" s="51" customFormat="1" ht="13.5" customHeight="1" x14ac:dyDescent="0.2"/>
    <row r="477" s="51" customFormat="1" ht="13.5" customHeight="1" x14ac:dyDescent="0.2"/>
    <row r="478" s="51" customFormat="1" ht="13.5" customHeight="1" x14ac:dyDescent="0.2"/>
    <row r="479" s="51" customFormat="1" ht="13.5" customHeight="1" x14ac:dyDescent="0.2"/>
    <row r="480" s="51" customFormat="1" ht="13.5" customHeight="1" x14ac:dyDescent="0.2"/>
    <row r="481" s="51" customFormat="1" ht="13.5" customHeight="1" x14ac:dyDescent="0.2"/>
    <row r="482" s="51" customFormat="1" ht="13.5" customHeight="1" x14ac:dyDescent="0.2"/>
    <row r="483" s="51" customFormat="1" ht="13.5" customHeight="1" x14ac:dyDescent="0.2"/>
    <row r="484" s="51" customFormat="1" ht="13.5" customHeight="1" x14ac:dyDescent="0.2"/>
    <row r="485" s="51" customFormat="1" ht="13.5" customHeight="1" x14ac:dyDescent="0.2"/>
    <row r="486" s="51" customFormat="1" ht="13.5" customHeight="1" x14ac:dyDescent="0.2"/>
    <row r="487" s="51" customFormat="1" ht="13.5" customHeight="1" x14ac:dyDescent="0.2"/>
    <row r="488" s="51" customFormat="1" ht="13.5" customHeight="1" x14ac:dyDescent="0.2"/>
    <row r="489" s="51" customFormat="1" ht="13.5" customHeight="1" x14ac:dyDescent="0.2"/>
    <row r="490" s="51" customFormat="1" ht="13.5" customHeight="1" x14ac:dyDescent="0.2"/>
    <row r="491" s="51" customFormat="1" ht="13.5" customHeight="1" x14ac:dyDescent="0.2"/>
    <row r="492" s="51" customFormat="1" ht="13.5" customHeight="1" x14ac:dyDescent="0.2"/>
    <row r="493" s="51" customFormat="1" ht="13.5" customHeight="1" x14ac:dyDescent="0.2"/>
    <row r="494" s="51" customFormat="1" ht="13.5" customHeight="1" x14ac:dyDescent="0.2"/>
    <row r="495" s="51" customFormat="1" ht="13.5" customHeight="1" x14ac:dyDescent="0.2"/>
    <row r="496" s="51" customFormat="1" ht="13.5" customHeight="1" x14ac:dyDescent="0.2"/>
    <row r="497" s="51" customFormat="1" ht="13.5" customHeight="1" x14ac:dyDescent="0.2"/>
    <row r="498" s="51" customFormat="1" ht="13.5" customHeight="1" x14ac:dyDescent="0.2"/>
    <row r="499" s="51" customFormat="1" ht="13.5" customHeight="1" x14ac:dyDescent="0.2"/>
    <row r="500" s="51" customFormat="1" ht="13.5" customHeight="1" x14ac:dyDescent="0.2"/>
    <row r="501" s="51" customFormat="1" ht="13.5" customHeight="1" x14ac:dyDescent="0.2"/>
    <row r="502" s="51" customFormat="1" ht="13.5" customHeight="1" x14ac:dyDescent="0.2"/>
    <row r="503" s="51" customFormat="1" ht="13.5" customHeight="1" x14ac:dyDescent="0.2"/>
    <row r="504" s="51" customFormat="1" ht="13.5" customHeight="1" x14ac:dyDescent="0.2"/>
    <row r="505" s="51" customFormat="1" ht="13.5" customHeight="1" x14ac:dyDescent="0.2"/>
    <row r="506" s="51" customFormat="1" ht="13.5" customHeight="1" x14ac:dyDescent="0.2"/>
    <row r="507" s="51" customFormat="1" ht="13.5" customHeight="1" x14ac:dyDescent="0.2"/>
    <row r="508" s="51" customFormat="1" ht="13.5" customHeight="1" x14ac:dyDescent="0.2"/>
    <row r="509" s="51" customFormat="1" ht="13.5" customHeight="1" x14ac:dyDescent="0.2"/>
    <row r="510" s="51" customFormat="1" ht="13.5" customHeight="1" x14ac:dyDescent="0.2"/>
    <row r="511" s="51" customFormat="1" ht="13.5" customHeight="1" x14ac:dyDescent="0.2"/>
    <row r="512" s="51" customFormat="1" ht="13.5" customHeight="1" x14ac:dyDescent="0.2"/>
    <row r="513" s="51" customFormat="1" ht="13.5" customHeight="1" x14ac:dyDescent="0.2"/>
    <row r="514" s="51" customFormat="1" ht="13.5" customHeight="1" x14ac:dyDescent="0.2"/>
    <row r="515" s="51" customFormat="1" ht="13.5" customHeight="1" x14ac:dyDescent="0.2"/>
    <row r="516" s="51" customFormat="1" ht="13.5" customHeight="1" x14ac:dyDescent="0.2"/>
    <row r="517" s="51" customFormat="1" ht="13.5" customHeight="1" x14ac:dyDescent="0.2"/>
    <row r="518" s="51" customFormat="1" ht="13.5" customHeight="1" x14ac:dyDescent="0.2"/>
    <row r="519" s="51" customFormat="1" ht="13.5" customHeight="1" x14ac:dyDescent="0.2"/>
    <row r="520" s="51" customFormat="1" ht="13.5" customHeight="1" x14ac:dyDescent="0.2"/>
    <row r="521" s="51" customFormat="1" ht="13.5" customHeight="1" x14ac:dyDescent="0.2"/>
    <row r="522" s="51" customFormat="1" ht="13.5" customHeight="1" x14ac:dyDescent="0.2"/>
    <row r="523" s="51" customFormat="1" ht="13.5" customHeight="1" x14ac:dyDescent="0.2"/>
    <row r="524" s="51" customFormat="1" ht="13.5" customHeight="1" x14ac:dyDescent="0.2"/>
    <row r="525" s="51" customFormat="1" ht="13.5" customHeight="1" x14ac:dyDescent="0.2"/>
    <row r="526" s="51" customFormat="1" ht="13.5" customHeight="1" x14ac:dyDescent="0.2"/>
    <row r="527" s="51" customFormat="1" ht="13.5" customHeight="1" x14ac:dyDescent="0.2"/>
    <row r="528" s="51" customFormat="1" ht="13.5" customHeight="1" x14ac:dyDescent="0.2"/>
    <row r="529" s="51" customFormat="1" ht="13.5" customHeight="1" x14ac:dyDescent="0.2"/>
    <row r="530" s="51" customFormat="1" ht="13.5" customHeight="1" x14ac:dyDescent="0.2"/>
    <row r="531" s="51" customFormat="1" ht="13.5" customHeight="1" x14ac:dyDescent="0.2"/>
    <row r="532" s="51" customFormat="1" ht="13.5" customHeight="1" x14ac:dyDescent="0.2"/>
    <row r="533" s="51" customFormat="1" ht="13.5" customHeight="1" x14ac:dyDescent="0.2"/>
    <row r="534" s="51" customFormat="1" ht="13.5" customHeight="1" x14ac:dyDescent="0.2"/>
    <row r="535" s="51" customFormat="1" ht="13.5" customHeight="1" x14ac:dyDescent="0.2"/>
    <row r="536" s="51" customFormat="1" ht="13.5" customHeight="1" x14ac:dyDescent="0.2"/>
    <row r="537" s="51" customFormat="1" ht="13.5" customHeight="1" x14ac:dyDescent="0.2"/>
    <row r="538" s="51" customFormat="1" ht="13.5" customHeight="1" x14ac:dyDescent="0.2"/>
    <row r="539" s="51" customFormat="1" ht="13.5" customHeight="1" x14ac:dyDescent="0.2"/>
    <row r="540" s="51" customFormat="1" ht="13.5" customHeight="1" x14ac:dyDescent="0.2"/>
    <row r="541" s="51" customFormat="1" ht="13.5" customHeight="1" x14ac:dyDescent="0.2"/>
    <row r="542" s="51" customFormat="1" ht="13.5" customHeight="1" x14ac:dyDescent="0.2"/>
    <row r="543" s="51" customFormat="1" ht="13.5" customHeight="1" x14ac:dyDescent="0.2"/>
    <row r="544" s="51" customFormat="1" ht="13.5" customHeight="1" x14ac:dyDescent="0.2"/>
    <row r="545" s="51" customFormat="1" ht="13.5" customHeight="1" x14ac:dyDescent="0.2"/>
    <row r="546" s="51" customFormat="1" ht="13.5" customHeight="1" x14ac:dyDescent="0.2"/>
    <row r="547" s="51" customFormat="1" ht="13.5" customHeight="1" x14ac:dyDescent="0.2"/>
    <row r="548" s="51" customFormat="1" ht="13.5" customHeight="1" x14ac:dyDescent="0.2"/>
    <row r="549" s="51" customFormat="1" ht="13.5" customHeight="1" x14ac:dyDescent="0.2"/>
    <row r="550" s="51" customFormat="1" ht="13.5" customHeight="1" x14ac:dyDescent="0.2"/>
    <row r="551" s="51" customFormat="1" ht="13.5" customHeight="1" x14ac:dyDescent="0.2"/>
    <row r="552" s="51" customFormat="1" ht="13.5" customHeight="1" x14ac:dyDescent="0.2"/>
    <row r="553" s="51" customFormat="1" ht="13.5" customHeight="1" x14ac:dyDescent="0.2"/>
    <row r="554" s="51" customFormat="1" ht="13.5" customHeight="1" x14ac:dyDescent="0.2"/>
    <row r="555" s="51" customFormat="1" ht="13.5" customHeight="1" x14ac:dyDescent="0.2"/>
    <row r="556" s="51" customFormat="1" ht="13.5" customHeight="1" x14ac:dyDescent="0.2"/>
    <row r="557" s="51" customFormat="1" ht="13.5" customHeight="1" x14ac:dyDescent="0.2"/>
    <row r="558" s="51" customFormat="1" ht="13.5" customHeight="1" x14ac:dyDescent="0.2"/>
    <row r="559" s="51" customFormat="1" ht="13.5" customHeight="1" x14ac:dyDescent="0.2"/>
    <row r="560" s="51" customFormat="1" ht="13.5" customHeight="1" x14ac:dyDescent="0.2"/>
    <row r="561" s="51" customFormat="1" ht="13.5" customHeight="1" x14ac:dyDescent="0.2"/>
    <row r="562" s="51" customFormat="1" ht="13.5" customHeight="1" x14ac:dyDescent="0.2"/>
    <row r="563" s="51" customFormat="1" ht="13.5" customHeight="1" x14ac:dyDescent="0.2"/>
    <row r="564" s="51" customFormat="1" ht="13.5" customHeight="1" x14ac:dyDescent="0.2"/>
    <row r="565" s="51" customFormat="1" ht="13.5" customHeight="1" x14ac:dyDescent="0.2"/>
    <row r="566" s="51" customFormat="1" ht="13.5" customHeight="1" x14ac:dyDescent="0.2"/>
    <row r="567" s="51" customFormat="1" ht="13.5" customHeight="1" x14ac:dyDescent="0.2"/>
    <row r="568" s="51" customFormat="1" ht="13.5" customHeight="1" x14ac:dyDescent="0.2"/>
    <row r="569" s="51" customFormat="1" ht="13.5" customHeight="1" x14ac:dyDescent="0.2"/>
    <row r="570" s="51" customFormat="1" ht="13.5" customHeight="1" x14ac:dyDescent="0.2"/>
    <row r="571" s="51" customFormat="1" ht="13.5" customHeight="1" x14ac:dyDescent="0.2"/>
    <row r="572" s="51" customFormat="1" ht="13.5" customHeight="1" x14ac:dyDescent="0.2"/>
    <row r="573" s="51" customFormat="1" ht="13.5" customHeight="1" x14ac:dyDescent="0.2"/>
    <row r="574" s="51" customFormat="1" ht="13.5" customHeight="1" x14ac:dyDescent="0.2"/>
    <row r="575" s="51" customFormat="1" ht="13.5" customHeight="1" x14ac:dyDescent="0.2"/>
    <row r="576" s="51" customFormat="1" ht="13.5" customHeight="1" x14ac:dyDescent="0.2"/>
    <row r="577" s="51" customFormat="1" ht="13.5" customHeight="1" x14ac:dyDescent="0.2"/>
    <row r="578" s="51" customFormat="1" ht="13.5" customHeight="1" x14ac:dyDescent="0.2"/>
    <row r="579" s="51" customFormat="1" ht="13.5" customHeight="1" x14ac:dyDescent="0.2"/>
    <row r="580" s="51" customFormat="1" ht="13.5" customHeight="1" x14ac:dyDescent="0.2"/>
    <row r="581" s="51" customFormat="1" ht="13.5" customHeight="1" x14ac:dyDescent="0.2"/>
    <row r="582" s="51" customFormat="1" ht="13.5" customHeight="1" x14ac:dyDescent="0.2"/>
    <row r="583" s="51" customFormat="1" ht="13.5" customHeight="1" x14ac:dyDescent="0.2"/>
    <row r="584" s="51" customFormat="1" ht="13.5" customHeight="1" x14ac:dyDescent="0.2"/>
    <row r="585" s="51" customFormat="1" ht="13.5" customHeight="1" x14ac:dyDescent="0.2"/>
    <row r="586" s="51" customFormat="1" ht="13.5" customHeight="1" x14ac:dyDescent="0.2"/>
    <row r="587" s="51" customFormat="1" ht="13.5" customHeight="1" x14ac:dyDescent="0.2"/>
    <row r="588" s="51" customFormat="1" ht="13.5" customHeight="1" x14ac:dyDescent="0.2"/>
    <row r="589" s="51" customFormat="1" ht="13.5" customHeight="1" x14ac:dyDescent="0.2"/>
    <row r="590" s="51" customFormat="1" ht="13.5" customHeight="1" x14ac:dyDescent="0.2"/>
    <row r="591" s="51" customFormat="1" ht="13.5" customHeight="1" x14ac:dyDescent="0.2"/>
    <row r="592" s="51" customFormat="1" ht="13.5" customHeight="1" x14ac:dyDescent="0.2"/>
    <row r="593" s="51" customFormat="1" ht="13.5" customHeight="1" x14ac:dyDescent="0.2"/>
    <row r="594" s="51" customFormat="1" ht="13.5" customHeight="1" x14ac:dyDescent="0.2"/>
    <row r="595" s="51" customFormat="1" ht="13.5" customHeight="1" x14ac:dyDescent="0.2"/>
    <row r="596" s="51" customFormat="1" ht="13.5" customHeight="1" x14ac:dyDescent="0.2"/>
    <row r="597" s="51" customFormat="1" ht="13.5" customHeight="1" x14ac:dyDescent="0.2"/>
    <row r="598" s="51" customFormat="1" ht="13.5" customHeight="1" x14ac:dyDescent="0.2"/>
    <row r="599" s="51" customFormat="1" ht="13.5" customHeight="1" x14ac:dyDescent="0.2"/>
    <row r="600" s="51" customFormat="1" ht="13.5" customHeight="1" x14ac:dyDescent="0.2"/>
    <row r="601" s="51" customFormat="1" ht="13.5" customHeight="1" x14ac:dyDescent="0.2"/>
    <row r="602" s="51" customFormat="1" ht="13.5" customHeight="1" x14ac:dyDescent="0.2"/>
    <row r="603" s="51" customFormat="1" ht="13.5" customHeight="1" x14ac:dyDescent="0.2"/>
    <row r="604" s="51" customFormat="1" ht="13.5" customHeight="1" x14ac:dyDescent="0.2"/>
    <row r="605" s="51" customFormat="1" ht="13.5" customHeight="1" x14ac:dyDescent="0.2"/>
    <row r="606" s="51" customFormat="1" ht="13.5" customHeight="1" x14ac:dyDescent="0.2"/>
    <row r="607" s="51" customFormat="1" ht="13.5" customHeight="1" x14ac:dyDescent="0.2"/>
    <row r="608" s="51" customFormat="1" ht="13.5" customHeight="1" x14ac:dyDescent="0.2"/>
    <row r="609" s="51" customFormat="1" ht="13.5" customHeight="1" x14ac:dyDescent="0.2"/>
    <row r="610" s="51" customFormat="1" ht="13.5" customHeight="1" x14ac:dyDescent="0.2"/>
    <row r="611" s="51" customFormat="1" ht="13.5" customHeight="1" x14ac:dyDescent="0.2"/>
    <row r="612" s="51" customFormat="1" ht="13.5" customHeight="1" x14ac:dyDescent="0.2"/>
    <row r="613" s="51" customFormat="1" ht="13.5" customHeight="1" x14ac:dyDescent="0.2"/>
    <row r="614" s="51" customFormat="1" ht="13.5" customHeight="1" x14ac:dyDescent="0.2"/>
    <row r="615" s="51" customFormat="1" ht="13.5" customHeight="1" x14ac:dyDescent="0.2"/>
    <row r="616" s="51" customFormat="1" ht="13.5" customHeight="1" x14ac:dyDescent="0.2"/>
    <row r="617" s="51" customFormat="1" ht="13.5" customHeight="1" x14ac:dyDescent="0.2"/>
    <row r="618" s="51" customFormat="1" ht="13.5" customHeight="1" x14ac:dyDescent="0.2"/>
    <row r="619" s="51" customFormat="1" ht="13.5" customHeight="1" x14ac:dyDescent="0.2"/>
    <row r="620" s="51" customFormat="1" ht="13.5" customHeight="1" x14ac:dyDescent="0.2"/>
    <row r="621" s="51" customFormat="1" ht="13.5" customHeight="1" x14ac:dyDescent="0.2"/>
    <row r="622" s="51" customFormat="1" ht="13.5" customHeight="1" x14ac:dyDescent="0.2"/>
    <row r="623" s="51" customFormat="1" ht="13.5" customHeight="1" x14ac:dyDescent="0.2"/>
    <row r="624" s="51" customFormat="1" ht="13.5" customHeight="1" x14ac:dyDescent="0.2"/>
    <row r="625" s="51" customFormat="1" ht="13.5" customHeight="1" x14ac:dyDescent="0.2"/>
    <row r="626" s="51" customFormat="1" ht="13.5" customHeight="1" x14ac:dyDescent="0.2"/>
    <row r="627" s="51" customFormat="1" ht="13.5" customHeight="1" x14ac:dyDescent="0.2"/>
    <row r="628" s="51" customFormat="1" ht="13.5" customHeight="1" x14ac:dyDescent="0.2"/>
    <row r="629" s="51" customFormat="1" ht="13.5" customHeight="1" x14ac:dyDescent="0.2"/>
    <row r="630" s="51" customFormat="1" ht="13.5" customHeight="1" x14ac:dyDescent="0.2"/>
    <row r="631" s="51" customFormat="1" ht="13.5" customHeight="1" x14ac:dyDescent="0.2"/>
    <row r="632" s="51" customFormat="1" ht="13.5" customHeight="1" x14ac:dyDescent="0.2"/>
    <row r="633" s="51" customFormat="1" ht="13.5" customHeight="1" x14ac:dyDescent="0.2"/>
    <row r="634" s="51" customFormat="1" ht="13.5" customHeight="1" x14ac:dyDescent="0.2"/>
    <row r="635" s="51" customFormat="1" ht="13.5" customHeight="1" x14ac:dyDescent="0.2"/>
    <row r="636" s="51" customFormat="1" ht="13.5" customHeight="1" x14ac:dyDescent="0.2"/>
    <row r="637" s="51" customFormat="1" ht="13.5" customHeight="1" x14ac:dyDescent="0.2"/>
    <row r="638" s="51" customFormat="1" ht="13.5" customHeight="1" x14ac:dyDescent="0.2"/>
    <row r="639" s="51" customFormat="1" ht="13.5" customHeight="1" x14ac:dyDescent="0.2"/>
    <row r="640" s="51" customFormat="1" ht="13.5" customHeight="1" x14ac:dyDescent="0.2"/>
    <row r="641" s="51" customFormat="1" ht="13.5" customHeight="1" x14ac:dyDescent="0.2"/>
    <row r="642" s="51" customFormat="1" ht="13.5" customHeight="1" x14ac:dyDescent="0.2"/>
    <row r="643" s="51" customFormat="1" ht="13.5" customHeight="1" x14ac:dyDescent="0.2"/>
    <row r="644" s="51" customFormat="1" ht="13.5" customHeight="1" x14ac:dyDescent="0.2"/>
    <row r="645" s="51" customFormat="1" ht="13.5" customHeight="1" x14ac:dyDescent="0.2"/>
    <row r="646" s="51" customFormat="1" ht="13.5" customHeight="1" x14ac:dyDescent="0.2"/>
    <row r="647" s="51" customFormat="1" ht="13.5" customHeight="1" x14ac:dyDescent="0.2"/>
    <row r="648" s="51" customFormat="1" ht="13.5" customHeight="1" x14ac:dyDescent="0.2"/>
    <row r="649" s="51" customFormat="1" ht="13.5" customHeight="1" x14ac:dyDescent="0.2"/>
    <row r="650" s="51" customFormat="1" ht="13.5" customHeight="1" x14ac:dyDescent="0.2"/>
    <row r="651" s="51" customFormat="1" ht="13.5" customHeight="1" x14ac:dyDescent="0.2"/>
    <row r="652" s="51" customFormat="1" ht="13.5" customHeight="1" x14ac:dyDescent="0.2"/>
    <row r="653" s="51" customFormat="1" ht="13.5" customHeight="1" x14ac:dyDescent="0.2"/>
    <row r="654" s="51" customFormat="1" ht="13.5" customHeight="1" x14ac:dyDescent="0.2"/>
    <row r="655" s="51" customFormat="1" ht="13.5" customHeight="1" x14ac:dyDescent="0.2"/>
    <row r="656" s="51" customFormat="1" ht="13.5" customHeight="1" x14ac:dyDescent="0.2"/>
    <row r="657" s="51" customFormat="1" ht="13.5" customHeight="1" x14ac:dyDescent="0.2"/>
    <row r="658" s="51" customFormat="1" ht="13.5" customHeight="1" x14ac:dyDescent="0.2"/>
    <row r="659" s="51" customFormat="1" ht="13.5" customHeight="1" x14ac:dyDescent="0.2"/>
    <row r="660" s="51" customFormat="1" ht="13.5" customHeight="1" x14ac:dyDescent="0.2"/>
    <row r="661" s="51" customFormat="1" ht="13.5" customHeight="1" x14ac:dyDescent="0.2"/>
    <row r="662" s="51" customFormat="1" ht="13.5" customHeight="1" x14ac:dyDescent="0.2"/>
    <row r="663" s="51" customFormat="1" ht="13.5" customHeight="1" x14ac:dyDescent="0.2"/>
    <row r="664" s="51" customFormat="1" ht="13.5" customHeight="1" x14ac:dyDescent="0.2"/>
    <row r="665" s="51" customFormat="1" ht="13.5" customHeight="1" x14ac:dyDescent="0.2"/>
    <row r="666" s="51" customFormat="1" ht="13.5" customHeight="1" x14ac:dyDescent="0.2"/>
    <row r="667" s="51" customFormat="1" ht="13.5" customHeight="1" x14ac:dyDescent="0.2"/>
    <row r="668" s="51" customFormat="1" ht="13.5" customHeight="1" x14ac:dyDescent="0.2"/>
    <row r="669" s="51" customFormat="1" ht="13.5" customHeight="1" x14ac:dyDescent="0.2"/>
    <row r="670" s="51" customFormat="1" ht="13.5" customHeight="1" x14ac:dyDescent="0.2"/>
    <row r="671" s="51" customFormat="1" ht="13.5" customHeight="1" x14ac:dyDescent="0.2"/>
    <row r="672" s="51" customFormat="1" ht="13.5" customHeight="1" x14ac:dyDescent="0.2"/>
    <row r="673" s="51" customFormat="1" ht="13.5" customHeight="1" x14ac:dyDescent="0.2"/>
    <row r="674" s="51" customFormat="1" ht="13.5" customHeight="1" x14ac:dyDescent="0.2"/>
    <row r="675" s="51" customFormat="1" ht="13.5" customHeight="1" x14ac:dyDescent="0.2"/>
    <row r="676" s="51" customFormat="1" ht="13.5" customHeight="1" x14ac:dyDescent="0.2"/>
    <row r="677" s="51" customFormat="1" ht="13.5" customHeight="1" x14ac:dyDescent="0.2"/>
    <row r="678" s="51" customFormat="1" ht="13.5" customHeight="1" x14ac:dyDescent="0.2"/>
    <row r="679" s="51" customFormat="1" ht="13.5" customHeight="1" x14ac:dyDescent="0.2"/>
    <row r="680" s="51" customFormat="1" ht="13.5" customHeight="1" x14ac:dyDescent="0.2"/>
    <row r="681" s="51" customFormat="1" ht="13.5" customHeight="1" x14ac:dyDescent="0.2"/>
    <row r="682" s="51" customFormat="1" ht="13.5" customHeight="1" x14ac:dyDescent="0.2"/>
    <row r="683" s="51" customFormat="1" ht="13.5" customHeight="1" x14ac:dyDescent="0.2"/>
    <row r="684" s="51" customFormat="1" ht="13.5" customHeight="1" x14ac:dyDescent="0.2"/>
    <row r="685" s="51" customFormat="1" ht="13.5" customHeight="1" x14ac:dyDescent="0.2"/>
    <row r="686" s="51" customFormat="1" ht="13.5" customHeight="1" x14ac:dyDescent="0.2"/>
    <row r="687" s="51" customFormat="1" ht="13.5" customHeight="1" x14ac:dyDescent="0.2"/>
    <row r="688" s="51" customFormat="1" ht="13.5" customHeight="1" x14ac:dyDescent="0.2"/>
    <row r="689" s="51" customFormat="1" ht="13.5" customHeight="1" x14ac:dyDescent="0.2"/>
    <row r="690" s="51" customFormat="1" ht="13.5" customHeight="1" x14ac:dyDescent="0.2"/>
    <row r="691" s="51" customFormat="1" ht="13.5" customHeight="1" x14ac:dyDescent="0.2"/>
    <row r="692" s="51" customFormat="1" ht="13.5" customHeight="1" x14ac:dyDescent="0.2"/>
    <row r="693" s="51" customFormat="1" ht="13.5" customHeight="1" x14ac:dyDescent="0.2"/>
    <row r="694" s="51" customFormat="1" ht="13.5" customHeight="1" x14ac:dyDescent="0.2"/>
    <row r="695" s="51" customFormat="1" ht="13.5" customHeight="1" x14ac:dyDescent="0.2"/>
    <row r="696" s="51" customFormat="1" ht="13.5" customHeight="1" x14ac:dyDescent="0.2"/>
    <row r="697" s="51" customFormat="1" ht="13.5" customHeight="1" x14ac:dyDescent="0.2"/>
    <row r="698" s="51" customFormat="1" ht="13.5" customHeight="1" x14ac:dyDescent="0.2"/>
    <row r="699" s="51" customFormat="1" ht="13.5" customHeight="1" x14ac:dyDescent="0.2"/>
    <row r="700" s="51" customFormat="1" ht="13.5" customHeight="1" x14ac:dyDescent="0.2"/>
    <row r="701" s="51" customFormat="1" ht="13.5" customHeight="1" x14ac:dyDescent="0.2"/>
    <row r="702" s="51" customFormat="1" ht="13.5" customHeight="1" x14ac:dyDescent="0.2"/>
    <row r="703" s="51" customFormat="1" ht="13.5" customHeight="1" x14ac:dyDescent="0.2"/>
    <row r="704" s="51" customFormat="1" ht="13.5" customHeight="1" x14ac:dyDescent="0.2"/>
    <row r="705" s="51" customFormat="1" ht="13.5" customHeight="1" x14ac:dyDescent="0.2"/>
    <row r="706" s="51" customFormat="1" ht="13.5" customHeight="1" x14ac:dyDescent="0.2"/>
    <row r="707" s="51" customFormat="1" ht="13.5" customHeight="1" x14ac:dyDescent="0.2"/>
    <row r="708" s="51" customFormat="1" ht="13.5" customHeight="1" x14ac:dyDescent="0.2"/>
    <row r="709" s="51" customFormat="1" ht="13.5" customHeight="1" x14ac:dyDescent="0.2"/>
    <row r="710" s="51" customFormat="1" ht="13.5" customHeight="1" x14ac:dyDescent="0.2"/>
    <row r="711" s="51" customFormat="1" ht="13.5" customHeight="1" x14ac:dyDescent="0.2"/>
    <row r="712" s="51" customFormat="1" ht="13.5" customHeight="1" x14ac:dyDescent="0.2"/>
    <row r="713" s="51" customFormat="1" ht="13.5" customHeight="1" x14ac:dyDescent="0.2"/>
    <row r="714" s="51" customFormat="1" ht="13.5" customHeight="1" x14ac:dyDescent="0.2"/>
    <row r="715" s="51" customFormat="1" ht="13.5" customHeight="1" x14ac:dyDescent="0.2"/>
    <row r="716" s="51" customFormat="1" ht="13.5" customHeight="1" x14ac:dyDescent="0.2"/>
    <row r="717" s="51" customFormat="1" ht="13.5" customHeight="1" x14ac:dyDescent="0.2"/>
    <row r="718" s="51" customFormat="1" ht="13.5" customHeight="1" x14ac:dyDescent="0.2"/>
    <row r="719" s="51" customFormat="1" ht="13.5" customHeight="1" x14ac:dyDescent="0.2"/>
    <row r="720" s="51" customFormat="1" ht="13.5" customHeight="1" x14ac:dyDescent="0.2"/>
    <row r="721" s="51" customFormat="1" ht="13.5" customHeight="1" x14ac:dyDescent="0.2"/>
    <row r="722" s="51" customFormat="1" ht="13.5" customHeight="1" x14ac:dyDescent="0.2"/>
    <row r="723" s="51" customFormat="1" ht="13.5" customHeight="1" x14ac:dyDescent="0.2"/>
    <row r="724" s="51" customFormat="1" ht="13.5" customHeight="1" x14ac:dyDescent="0.2"/>
    <row r="725" s="51" customFormat="1" ht="13.5" customHeight="1" x14ac:dyDescent="0.2"/>
    <row r="726" s="51" customFormat="1" ht="13.5" customHeight="1" x14ac:dyDescent="0.2"/>
    <row r="727" s="51" customFormat="1" ht="13.5" customHeight="1" x14ac:dyDescent="0.2"/>
    <row r="728" s="51" customFormat="1" ht="13.5" customHeight="1" x14ac:dyDescent="0.2"/>
    <row r="729" s="51" customFormat="1" ht="13.5" customHeight="1" x14ac:dyDescent="0.2"/>
    <row r="730" s="51" customFormat="1" ht="13.5" customHeight="1" x14ac:dyDescent="0.2"/>
    <row r="731" s="51" customFormat="1" ht="13.5" customHeight="1" x14ac:dyDescent="0.2"/>
    <row r="732" s="51" customFormat="1" ht="13.5" customHeight="1" x14ac:dyDescent="0.2"/>
    <row r="733" s="51" customFormat="1" ht="13.5" customHeight="1" x14ac:dyDescent="0.2"/>
    <row r="734" s="51" customFormat="1" ht="13.5" customHeight="1" x14ac:dyDescent="0.2"/>
    <row r="735" s="51" customFormat="1" ht="13.5" customHeight="1" x14ac:dyDescent="0.2"/>
    <row r="736" s="51" customFormat="1" ht="13.5" customHeight="1" x14ac:dyDescent="0.2"/>
    <row r="737" s="51" customFormat="1" ht="13.5" customHeight="1" x14ac:dyDescent="0.2"/>
    <row r="738" s="51" customFormat="1" ht="13.5" customHeight="1" x14ac:dyDescent="0.2"/>
    <row r="739" s="51" customFormat="1" ht="13.5" customHeight="1" x14ac:dyDescent="0.2"/>
    <row r="740" s="51" customFormat="1" ht="13.5" customHeight="1" x14ac:dyDescent="0.2"/>
    <row r="741" s="51" customFormat="1" ht="13.5" customHeight="1" x14ac:dyDescent="0.2"/>
    <row r="742" s="51" customFormat="1" ht="13.5" customHeight="1" x14ac:dyDescent="0.2"/>
    <row r="743" s="51" customFormat="1" ht="13.5" customHeight="1" x14ac:dyDescent="0.2"/>
    <row r="744" s="51" customFormat="1" ht="13.5" customHeight="1" x14ac:dyDescent="0.2"/>
    <row r="745" s="51" customFormat="1" ht="13.5" customHeight="1" x14ac:dyDescent="0.2"/>
    <row r="746" s="51" customFormat="1" ht="13.5" customHeight="1" x14ac:dyDescent="0.2"/>
    <row r="747" s="51" customFormat="1" ht="13.5" customHeight="1" x14ac:dyDescent="0.2"/>
    <row r="748" s="51" customFormat="1" ht="13.5" customHeight="1" x14ac:dyDescent="0.2"/>
    <row r="749" s="51" customFormat="1" ht="13.5" customHeight="1" x14ac:dyDescent="0.2"/>
    <row r="750" s="51" customFormat="1" ht="13.5" customHeight="1" x14ac:dyDescent="0.2"/>
    <row r="751" s="51" customFormat="1" ht="13.5" customHeight="1" x14ac:dyDescent="0.2"/>
    <row r="752" s="51" customFormat="1" ht="13.5" customHeight="1" x14ac:dyDescent="0.2"/>
    <row r="753" s="51" customFormat="1" ht="13.5" customHeight="1" x14ac:dyDescent="0.2"/>
    <row r="754" s="51" customFormat="1" ht="13.5" customHeight="1" x14ac:dyDescent="0.2"/>
    <row r="755" s="51" customFormat="1" ht="13.5" customHeight="1" x14ac:dyDescent="0.2"/>
    <row r="756" s="51" customFormat="1" ht="13.5" customHeight="1" x14ac:dyDescent="0.2"/>
    <row r="757" s="51" customFormat="1" ht="13.5" customHeight="1" x14ac:dyDescent="0.2"/>
    <row r="758" s="51" customFormat="1" ht="13.5" customHeight="1" x14ac:dyDescent="0.2"/>
    <row r="759" s="51" customFormat="1" ht="13.5" customHeight="1" x14ac:dyDescent="0.2"/>
    <row r="760" s="51" customFormat="1" ht="13.5" customHeight="1" x14ac:dyDescent="0.2"/>
    <row r="761" s="51" customFormat="1" ht="13.5" customHeight="1" x14ac:dyDescent="0.2"/>
    <row r="762" s="51" customFormat="1" ht="13.5" customHeight="1" x14ac:dyDescent="0.2"/>
    <row r="763" s="51" customFormat="1" ht="13.5" customHeight="1" x14ac:dyDescent="0.2"/>
    <row r="764" s="51" customFormat="1" ht="13.5" customHeight="1" x14ac:dyDescent="0.2"/>
    <row r="765" s="51" customFormat="1" ht="13.5" customHeight="1" x14ac:dyDescent="0.2"/>
    <row r="766" s="51" customFormat="1" ht="13.5" customHeight="1" x14ac:dyDescent="0.2"/>
    <row r="767" s="51" customFormat="1" ht="13.5" customHeight="1" x14ac:dyDescent="0.2"/>
    <row r="768" s="51" customFormat="1" ht="13.5" customHeight="1" x14ac:dyDescent="0.2"/>
    <row r="769" s="51" customFormat="1" ht="13.5" customHeight="1" x14ac:dyDescent="0.2"/>
    <row r="770" s="51" customFormat="1" ht="13.5" customHeight="1" x14ac:dyDescent="0.2"/>
    <row r="771" s="51" customFormat="1" ht="13.5" customHeight="1" x14ac:dyDescent="0.2"/>
    <row r="772" s="51" customFormat="1" ht="13.5" customHeight="1" x14ac:dyDescent="0.2"/>
    <row r="773" s="51" customFormat="1" ht="13.5" customHeight="1" x14ac:dyDescent="0.2"/>
    <row r="774" s="51" customFormat="1" ht="13.5" customHeight="1" x14ac:dyDescent="0.2"/>
    <row r="775" s="51" customFormat="1" ht="13.5" customHeight="1" x14ac:dyDescent="0.2"/>
    <row r="776" s="51" customFormat="1" ht="13.5" customHeight="1" x14ac:dyDescent="0.2"/>
    <row r="777" s="51" customFormat="1" ht="13.5" customHeight="1" x14ac:dyDescent="0.2"/>
    <row r="778" s="51" customFormat="1" ht="13.5" customHeight="1" x14ac:dyDescent="0.2"/>
    <row r="779" s="51" customFormat="1" ht="13.5" customHeight="1" x14ac:dyDescent="0.2"/>
    <row r="780" s="51" customFormat="1" ht="13.5" customHeight="1" x14ac:dyDescent="0.2"/>
    <row r="781" s="51" customFormat="1" ht="13.5" customHeight="1" x14ac:dyDescent="0.2"/>
    <row r="782" s="51" customFormat="1" ht="13.5" customHeight="1" x14ac:dyDescent="0.2"/>
    <row r="783" s="51" customFormat="1" ht="13.5" customHeight="1" x14ac:dyDescent="0.2"/>
    <row r="784" s="51" customFormat="1" ht="13.5" customHeight="1" x14ac:dyDescent="0.2"/>
    <row r="785" s="51" customFormat="1" ht="13.5" customHeight="1" x14ac:dyDescent="0.2"/>
    <row r="786" s="51" customFormat="1" ht="13.5" customHeight="1" x14ac:dyDescent="0.2"/>
    <row r="787" s="51" customFormat="1" ht="13.5" customHeight="1" x14ac:dyDescent="0.2"/>
    <row r="788" s="51" customFormat="1" ht="13.5" customHeight="1" x14ac:dyDescent="0.2"/>
    <row r="789" s="51" customFormat="1" ht="13.5" customHeight="1" x14ac:dyDescent="0.2"/>
    <row r="790" s="51" customFormat="1" ht="13.5" customHeight="1" x14ac:dyDescent="0.2"/>
    <row r="791" s="51" customFormat="1" ht="13.5" customHeight="1" x14ac:dyDescent="0.2"/>
    <row r="792" s="51" customFormat="1" ht="13.5" customHeight="1" x14ac:dyDescent="0.2"/>
    <row r="793" s="51" customFormat="1" ht="13.5" customHeight="1" x14ac:dyDescent="0.2"/>
    <row r="794" s="51" customFormat="1" ht="13.5" customHeight="1" x14ac:dyDescent="0.2"/>
    <row r="795" s="51" customFormat="1" ht="13.5" customHeight="1" x14ac:dyDescent="0.2"/>
    <row r="796" s="51" customFormat="1" ht="13.5" customHeight="1" x14ac:dyDescent="0.2"/>
    <row r="797" s="51" customFormat="1" ht="13.5" customHeight="1" x14ac:dyDescent="0.2"/>
    <row r="798" s="51" customFormat="1" ht="13.5" customHeight="1" x14ac:dyDescent="0.2"/>
    <row r="799" s="51" customFormat="1" ht="13.5" customHeight="1" x14ac:dyDescent="0.2"/>
    <row r="800" s="51" customFormat="1" ht="13.5" customHeight="1" x14ac:dyDescent="0.2"/>
    <row r="801" s="51" customFormat="1" ht="13.5" customHeight="1" x14ac:dyDescent="0.2"/>
    <row r="802" s="51" customFormat="1" ht="13.5" customHeight="1" x14ac:dyDescent="0.2"/>
    <row r="803" s="51" customFormat="1" ht="13.5" customHeight="1" x14ac:dyDescent="0.2"/>
    <row r="804" s="51" customFormat="1" ht="13.5" customHeight="1" x14ac:dyDescent="0.2"/>
    <row r="805" s="51" customFormat="1" ht="13.5" customHeight="1" x14ac:dyDescent="0.2"/>
    <row r="806" s="51" customFormat="1" ht="13.5" customHeight="1" x14ac:dyDescent="0.2"/>
    <row r="807" s="51" customFormat="1" ht="13.5" customHeight="1" x14ac:dyDescent="0.2"/>
    <row r="808" s="51" customFormat="1" ht="13.5" customHeight="1" x14ac:dyDescent="0.2"/>
    <row r="809" s="51" customFormat="1" ht="13.5" customHeight="1" x14ac:dyDescent="0.2"/>
    <row r="810" s="51" customFormat="1" ht="13.5" customHeight="1" x14ac:dyDescent="0.2"/>
    <row r="811" s="51" customFormat="1" ht="13.5" customHeight="1" x14ac:dyDescent="0.2"/>
    <row r="812" s="51" customFormat="1" ht="13.5" customHeight="1" x14ac:dyDescent="0.2"/>
    <row r="813" s="51" customFormat="1" ht="13.5" customHeight="1" x14ac:dyDescent="0.2"/>
    <row r="814" s="51" customFormat="1" ht="13.5" customHeight="1" x14ac:dyDescent="0.2"/>
    <row r="815" s="51" customFormat="1" ht="13.5" customHeight="1" x14ac:dyDescent="0.2"/>
    <row r="816" s="51" customFormat="1" ht="13.5" customHeight="1" x14ac:dyDescent="0.2"/>
    <row r="817" s="51" customFormat="1" ht="13.5" customHeight="1" x14ac:dyDescent="0.2"/>
    <row r="818" s="51" customFormat="1" ht="13.5" customHeight="1" x14ac:dyDescent="0.2"/>
    <row r="819" s="51" customFormat="1" ht="13.5" customHeight="1" x14ac:dyDescent="0.2"/>
    <row r="820" s="51" customFormat="1" ht="13.5" customHeight="1" x14ac:dyDescent="0.2"/>
    <row r="821" s="51" customFormat="1" ht="13.5" customHeight="1" x14ac:dyDescent="0.2"/>
    <row r="822" s="51" customFormat="1" ht="13.5" customHeight="1" x14ac:dyDescent="0.2"/>
    <row r="823" s="51" customFormat="1" ht="13.5" customHeight="1" x14ac:dyDescent="0.2"/>
    <row r="824" s="51" customFormat="1" ht="13.5" customHeight="1" x14ac:dyDescent="0.2"/>
    <row r="825" s="51" customFormat="1" ht="13.5" customHeight="1" x14ac:dyDescent="0.2"/>
    <row r="826" s="51" customFormat="1" ht="13.5" customHeight="1" x14ac:dyDescent="0.2"/>
    <row r="827" s="51" customFormat="1" ht="13.5" customHeight="1" x14ac:dyDescent="0.2"/>
    <row r="828" s="51" customFormat="1" ht="13.5" customHeight="1" x14ac:dyDescent="0.2"/>
    <row r="829" s="51" customFormat="1" ht="13.5" customHeight="1" x14ac:dyDescent="0.2"/>
    <row r="830" s="51" customFormat="1" ht="13.5" customHeight="1" x14ac:dyDescent="0.2"/>
    <row r="831" s="51" customFormat="1" ht="13.5" customHeight="1" x14ac:dyDescent="0.2"/>
    <row r="832" s="51" customFormat="1" ht="13.5" customHeight="1" x14ac:dyDescent="0.2"/>
    <row r="833" s="51" customFormat="1" ht="13.5" customHeight="1" x14ac:dyDescent="0.2"/>
    <row r="834" s="51" customFormat="1" ht="13.5" customHeight="1" x14ac:dyDescent="0.2"/>
    <row r="835" s="51" customFormat="1" ht="13.5" customHeight="1" x14ac:dyDescent="0.2"/>
    <row r="836" s="51" customFormat="1" ht="13.5" customHeight="1" x14ac:dyDescent="0.2"/>
    <row r="837" s="51" customFormat="1" ht="13.5" customHeight="1" x14ac:dyDescent="0.2"/>
    <row r="838" s="51" customFormat="1" ht="13.5" customHeight="1" x14ac:dyDescent="0.2"/>
    <row r="839" s="51" customFormat="1" ht="13.5" customHeight="1" x14ac:dyDescent="0.2"/>
    <row r="840" s="51" customFormat="1" ht="13.5" customHeight="1" x14ac:dyDescent="0.2"/>
    <row r="841" s="51" customFormat="1" ht="13.5" customHeight="1" x14ac:dyDescent="0.2"/>
    <row r="842" s="51" customFormat="1" ht="13.5" customHeight="1" x14ac:dyDescent="0.2"/>
    <row r="843" s="51" customFormat="1" ht="13.5" customHeight="1" x14ac:dyDescent="0.2"/>
    <row r="844" s="51" customFormat="1" ht="13.5" customHeight="1" x14ac:dyDescent="0.2"/>
    <row r="845" s="51" customFormat="1" ht="13.5" customHeight="1" x14ac:dyDescent="0.2"/>
    <row r="846" s="51" customFormat="1" ht="13.5" customHeight="1" x14ac:dyDescent="0.2"/>
    <row r="847" s="51" customFormat="1" ht="13.5" customHeight="1" x14ac:dyDescent="0.2"/>
    <row r="848" s="51" customFormat="1" ht="13.5" customHeight="1" x14ac:dyDescent="0.2"/>
    <row r="849" s="51" customFormat="1" ht="13.5" customHeight="1" x14ac:dyDescent="0.2"/>
    <row r="850" s="51" customFormat="1" ht="13.5" customHeight="1" x14ac:dyDescent="0.2"/>
    <row r="851" s="51" customFormat="1" ht="13.5" customHeight="1" x14ac:dyDescent="0.2"/>
    <row r="852" s="51" customFormat="1" ht="13.5" customHeight="1" x14ac:dyDescent="0.2"/>
    <row r="853" s="51" customFormat="1" ht="13.5" customHeight="1" x14ac:dyDescent="0.2"/>
    <row r="854" s="51" customFormat="1" ht="13.5" customHeight="1" x14ac:dyDescent="0.2"/>
    <row r="855" s="51" customFormat="1" ht="13.5" customHeight="1" x14ac:dyDescent="0.2"/>
    <row r="856" s="51" customFormat="1" ht="13.5" customHeight="1" x14ac:dyDescent="0.2"/>
    <row r="857" s="51" customFormat="1" ht="13.5" customHeight="1" x14ac:dyDescent="0.2"/>
    <row r="858" s="51" customFormat="1" ht="13.5" customHeight="1" x14ac:dyDescent="0.2"/>
    <row r="859" s="51" customFormat="1" ht="13.5" customHeight="1" x14ac:dyDescent="0.2"/>
    <row r="860" s="51" customFormat="1" ht="13.5" customHeight="1" x14ac:dyDescent="0.2"/>
    <row r="861" s="51" customFormat="1" ht="13.5" customHeight="1" x14ac:dyDescent="0.2"/>
    <row r="862" s="51" customFormat="1" ht="13.5" customHeight="1" x14ac:dyDescent="0.2"/>
    <row r="863" s="51" customFormat="1" ht="13.5" customHeight="1" x14ac:dyDescent="0.2"/>
    <row r="864" s="51" customFormat="1" ht="13.5" customHeight="1" x14ac:dyDescent="0.2"/>
    <row r="865" s="51" customFormat="1" ht="13.5" customHeight="1" x14ac:dyDescent="0.2"/>
    <row r="866" s="51" customFormat="1" ht="13.5" customHeight="1" x14ac:dyDescent="0.2"/>
    <row r="867" s="51" customFormat="1" ht="13.5" customHeight="1" x14ac:dyDescent="0.2"/>
    <row r="868" s="51" customFormat="1" ht="13.5" customHeight="1" x14ac:dyDescent="0.2"/>
    <row r="869" s="51" customFormat="1" ht="13.5" customHeight="1" x14ac:dyDescent="0.2"/>
    <row r="870" s="51" customFormat="1" ht="13.5" customHeight="1" x14ac:dyDescent="0.2"/>
    <row r="871" s="51" customFormat="1" ht="13.5" customHeight="1" x14ac:dyDescent="0.2"/>
    <row r="872" s="51" customFormat="1" ht="13.5" customHeight="1" x14ac:dyDescent="0.2"/>
    <row r="873" s="51" customFormat="1" ht="13.5" customHeight="1" x14ac:dyDescent="0.2"/>
    <row r="874" s="51" customFormat="1" ht="13.5" customHeight="1" x14ac:dyDescent="0.2"/>
    <row r="875" s="51" customFormat="1" ht="13.5" customHeight="1" x14ac:dyDescent="0.2"/>
    <row r="876" s="51" customFormat="1" ht="13.5" customHeight="1" x14ac:dyDescent="0.2"/>
    <row r="877" s="51" customFormat="1" ht="13.5" customHeight="1" x14ac:dyDescent="0.2"/>
    <row r="878" s="51" customFormat="1" ht="13.5" customHeight="1" x14ac:dyDescent="0.2"/>
    <row r="879" s="51" customFormat="1" ht="13.5" customHeight="1" x14ac:dyDescent="0.2"/>
    <row r="880" s="51" customFormat="1" ht="13.5" customHeight="1" x14ac:dyDescent="0.2"/>
    <row r="881" s="51" customFormat="1" ht="13.5" customHeight="1" x14ac:dyDescent="0.2"/>
    <row r="882" s="51" customFormat="1" ht="13.5" customHeight="1" x14ac:dyDescent="0.2"/>
    <row r="883" s="51" customFormat="1" ht="13.5" customHeight="1" x14ac:dyDescent="0.2"/>
    <row r="884" s="51" customFormat="1" ht="13.5" customHeight="1" x14ac:dyDescent="0.2"/>
    <row r="885" s="51" customFormat="1" ht="13.5" customHeight="1" x14ac:dyDescent="0.2"/>
    <row r="886" s="51" customFormat="1" ht="13.5" customHeight="1" x14ac:dyDescent="0.2"/>
    <row r="887" s="51" customFormat="1" ht="13.5" customHeight="1" x14ac:dyDescent="0.2"/>
    <row r="888" s="51" customFormat="1" ht="13.5" customHeight="1" x14ac:dyDescent="0.2"/>
    <row r="889" s="51" customFormat="1" ht="13.5" customHeight="1" x14ac:dyDescent="0.2"/>
    <row r="890" s="51" customFormat="1" ht="13.5" customHeight="1" x14ac:dyDescent="0.2"/>
    <row r="891" s="51" customFormat="1" ht="13.5" customHeight="1" x14ac:dyDescent="0.2"/>
    <row r="892" s="51" customFormat="1" ht="13.5" customHeight="1" x14ac:dyDescent="0.2"/>
    <row r="893" s="51" customFormat="1" ht="13.5" customHeight="1" x14ac:dyDescent="0.2"/>
    <row r="894" s="51" customFormat="1" ht="13.5" customHeight="1" x14ac:dyDescent="0.2"/>
    <row r="895" s="51" customFormat="1" ht="13.5" customHeight="1" x14ac:dyDescent="0.2"/>
    <row r="896" s="51" customFormat="1" ht="13.5" customHeight="1" x14ac:dyDescent="0.2"/>
    <row r="897" s="51" customFormat="1" ht="13.5" customHeight="1" x14ac:dyDescent="0.2"/>
    <row r="898" s="51" customFormat="1" ht="13.5" customHeight="1" x14ac:dyDescent="0.2"/>
    <row r="899" s="51" customFormat="1" ht="13.5" customHeight="1" x14ac:dyDescent="0.2"/>
    <row r="900" s="51" customFormat="1" ht="13.5" customHeight="1" x14ac:dyDescent="0.2"/>
    <row r="901" s="51" customFormat="1" ht="13.5" customHeight="1" x14ac:dyDescent="0.2"/>
    <row r="902" s="51" customFormat="1" ht="13.5" customHeight="1" x14ac:dyDescent="0.2"/>
    <row r="903" s="51" customFormat="1" ht="13.5" customHeight="1" x14ac:dyDescent="0.2"/>
    <row r="904" s="51" customFormat="1" ht="13.5" customHeight="1" x14ac:dyDescent="0.2"/>
    <row r="905" s="51" customFormat="1" ht="13.5" customHeight="1" x14ac:dyDescent="0.2"/>
    <row r="906" s="51" customFormat="1" ht="13.5" customHeight="1" x14ac:dyDescent="0.2"/>
    <row r="907" s="51" customFormat="1" ht="13.5" customHeight="1" x14ac:dyDescent="0.2"/>
    <row r="908" s="51" customFormat="1" ht="13.5" customHeight="1" x14ac:dyDescent="0.2"/>
    <row r="909" s="51" customFormat="1" ht="13.5" customHeight="1" x14ac:dyDescent="0.2"/>
    <row r="910" s="51" customFormat="1" ht="13.5" customHeight="1" x14ac:dyDescent="0.2"/>
    <row r="911" s="51" customFormat="1" ht="13.5" customHeight="1" x14ac:dyDescent="0.2"/>
    <row r="912" s="51" customFormat="1" ht="13.5" customHeight="1" x14ac:dyDescent="0.2"/>
    <row r="913" s="51" customFormat="1" ht="13.5" customHeight="1" x14ac:dyDescent="0.2"/>
    <row r="914" s="51" customFormat="1" ht="13.5" customHeight="1" x14ac:dyDescent="0.2"/>
    <row r="915" s="51" customFormat="1" ht="13.5" customHeight="1" x14ac:dyDescent="0.2"/>
    <row r="916" s="51" customFormat="1" ht="13.5" customHeight="1" x14ac:dyDescent="0.2"/>
    <row r="917" s="51" customFormat="1" ht="13.5" customHeight="1" x14ac:dyDescent="0.2"/>
    <row r="918" s="51" customFormat="1" ht="13.5" customHeight="1" x14ac:dyDescent="0.2"/>
    <row r="919" s="51" customFormat="1" ht="13.5" customHeight="1" x14ac:dyDescent="0.2"/>
    <row r="920" s="51" customFormat="1" ht="13.5" customHeight="1" x14ac:dyDescent="0.2"/>
    <row r="921" s="51" customFormat="1" ht="13.5" customHeight="1" x14ac:dyDescent="0.2"/>
    <row r="922" s="51" customFormat="1" ht="13.5" customHeight="1" x14ac:dyDescent="0.2"/>
    <row r="923" s="51" customFormat="1" ht="13.5" customHeight="1" x14ac:dyDescent="0.2"/>
    <row r="924" s="51" customFormat="1" ht="13.5" customHeight="1" x14ac:dyDescent="0.2"/>
    <row r="925" s="51" customFormat="1" ht="13.5" customHeight="1" x14ac:dyDescent="0.2"/>
    <row r="926" s="51" customFormat="1" ht="13.5" customHeight="1" x14ac:dyDescent="0.2"/>
    <row r="927" s="51" customFormat="1" ht="13.5" customHeight="1" x14ac:dyDescent="0.2"/>
    <row r="928" s="51" customFormat="1" ht="13.5" customHeight="1" x14ac:dyDescent="0.2"/>
    <row r="929" s="51" customFormat="1" ht="13.5" customHeight="1" x14ac:dyDescent="0.2"/>
    <row r="930" s="51" customFormat="1" ht="13.5" customHeight="1" x14ac:dyDescent="0.2"/>
    <row r="931" s="51" customFormat="1" ht="13.5" customHeight="1" x14ac:dyDescent="0.2"/>
    <row r="932" s="51" customFormat="1" ht="13.5" customHeight="1" x14ac:dyDescent="0.2"/>
    <row r="933" s="51" customFormat="1" ht="13.5" customHeight="1" x14ac:dyDescent="0.2"/>
    <row r="934" s="51" customFormat="1" ht="13.5" customHeight="1" x14ac:dyDescent="0.2"/>
    <row r="935" s="51" customFormat="1" ht="13.5" customHeight="1" x14ac:dyDescent="0.2"/>
    <row r="936" s="51" customFormat="1" ht="13.5" customHeight="1" x14ac:dyDescent="0.2"/>
    <row r="937" s="51" customFormat="1" ht="13.5" customHeight="1" x14ac:dyDescent="0.2"/>
    <row r="938" s="51" customFormat="1" ht="13.5" customHeight="1" x14ac:dyDescent="0.2"/>
    <row r="939" s="51" customFormat="1" ht="13.5" customHeight="1" x14ac:dyDescent="0.2"/>
    <row r="940" s="51" customFormat="1" ht="13.5" customHeight="1" x14ac:dyDescent="0.2"/>
    <row r="941" s="51" customFormat="1" ht="13.5" customHeight="1" x14ac:dyDescent="0.2"/>
    <row r="942" s="51" customFormat="1" ht="13.5" customHeight="1" x14ac:dyDescent="0.2"/>
    <row r="943" s="51" customFormat="1" ht="13.5" customHeight="1" x14ac:dyDescent="0.2"/>
    <row r="944" s="51" customFormat="1" ht="13.5" customHeight="1" x14ac:dyDescent="0.2"/>
    <row r="945" s="51" customFormat="1" ht="13.5" customHeight="1" x14ac:dyDescent="0.2"/>
    <row r="946" s="51" customFormat="1" ht="13.5" customHeight="1" x14ac:dyDescent="0.2"/>
    <row r="947" s="51" customFormat="1" ht="13.5" customHeight="1" x14ac:dyDescent="0.2"/>
    <row r="948" s="51" customFormat="1" ht="13.5" customHeight="1" x14ac:dyDescent="0.2"/>
    <row r="949" s="51" customFormat="1" ht="13.5" customHeight="1" x14ac:dyDescent="0.2"/>
    <row r="950" s="51" customFormat="1" ht="13.5" customHeight="1" x14ac:dyDescent="0.2"/>
    <row r="951" s="51" customFormat="1" ht="13.5" customHeight="1" x14ac:dyDescent="0.2"/>
    <row r="952" s="51" customFormat="1" ht="13.5" customHeight="1" x14ac:dyDescent="0.2"/>
    <row r="953" s="51" customFormat="1" ht="13.5" customHeight="1" x14ac:dyDescent="0.2"/>
    <row r="954" s="51" customFormat="1" ht="13.5" customHeight="1" x14ac:dyDescent="0.2"/>
    <row r="955" s="51" customFormat="1" ht="13.5" customHeight="1" x14ac:dyDescent="0.2"/>
    <row r="956" s="51" customFormat="1" ht="13.5" customHeight="1" x14ac:dyDescent="0.2"/>
    <row r="957" s="51" customFormat="1" ht="13.5" customHeight="1" x14ac:dyDescent="0.2"/>
    <row r="958" s="51" customFormat="1" ht="13.5" customHeight="1" x14ac:dyDescent="0.2"/>
    <row r="959" s="51" customFormat="1" ht="13.5" customHeight="1" x14ac:dyDescent="0.2"/>
    <row r="960" s="51" customFormat="1" ht="13.5" customHeight="1" x14ac:dyDescent="0.2"/>
    <row r="961" s="51" customFormat="1" ht="13.5" customHeight="1" x14ac:dyDescent="0.2"/>
    <row r="962" s="51" customFormat="1" ht="13.5" customHeight="1" x14ac:dyDescent="0.2"/>
    <row r="963" s="51" customFormat="1" ht="13.5" customHeight="1" x14ac:dyDescent="0.2"/>
    <row r="964" s="51" customFormat="1" ht="13.5" customHeight="1" x14ac:dyDescent="0.2"/>
    <row r="965" s="51" customFormat="1" ht="13.5" customHeight="1" x14ac:dyDescent="0.2"/>
    <row r="966" s="51" customFormat="1" ht="13.5" customHeight="1" x14ac:dyDescent="0.2"/>
    <row r="967" s="51" customFormat="1" ht="13.5" customHeight="1" x14ac:dyDescent="0.2"/>
    <row r="968" s="51" customFormat="1" ht="13.5" customHeight="1" x14ac:dyDescent="0.2"/>
    <row r="969" s="51" customFormat="1" ht="13.5" customHeight="1" x14ac:dyDescent="0.2"/>
    <row r="970" s="51" customFormat="1" ht="13.5" customHeight="1" x14ac:dyDescent="0.2"/>
    <row r="971" s="51" customFormat="1" ht="13.5" customHeight="1" x14ac:dyDescent="0.2"/>
    <row r="972" s="51" customFormat="1" ht="13.5" customHeight="1" x14ac:dyDescent="0.2"/>
    <row r="973" s="51" customFormat="1" ht="13.5" customHeight="1" x14ac:dyDescent="0.2"/>
    <row r="974" s="51" customFormat="1" ht="13.5" customHeight="1" x14ac:dyDescent="0.2"/>
    <row r="975" s="51" customFormat="1" ht="13.5" customHeight="1" x14ac:dyDescent="0.2"/>
    <row r="976" s="51" customFormat="1" ht="13.5" customHeight="1" x14ac:dyDescent="0.2"/>
    <row r="977" s="51" customFormat="1" ht="13.5" customHeight="1" x14ac:dyDescent="0.2"/>
    <row r="978" s="51" customFormat="1" ht="13.5" customHeight="1" x14ac:dyDescent="0.2"/>
    <row r="979" s="51" customFormat="1" ht="13.5" customHeight="1" x14ac:dyDescent="0.2"/>
    <row r="980" s="51" customFormat="1" ht="13.5" customHeight="1" x14ac:dyDescent="0.2"/>
    <row r="981" s="51" customFormat="1" ht="13.5" customHeight="1" x14ac:dyDescent="0.2"/>
    <row r="982" s="51" customFormat="1" ht="13.5" customHeight="1" x14ac:dyDescent="0.2"/>
    <row r="983" s="51" customFormat="1" ht="13.5" customHeight="1" x14ac:dyDescent="0.2"/>
    <row r="984" s="51" customFormat="1" ht="13.5" customHeight="1" x14ac:dyDescent="0.2"/>
    <row r="985" s="51" customFormat="1" ht="13.5" customHeight="1" x14ac:dyDescent="0.2"/>
    <row r="986" s="51" customFormat="1" ht="13.5" customHeight="1" x14ac:dyDescent="0.2"/>
    <row r="987" s="51" customFormat="1" ht="13.5" customHeight="1" x14ac:dyDescent="0.2"/>
    <row r="988" s="51" customFormat="1" ht="13.5" customHeight="1" x14ac:dyDescent="0.2"/>
    <row r="989" s="51" customFormat="1" ht="13.5" customHeight="1" x14ac:dyDescent="0.2"/>
    <row r="990" s="51" customFormat="1" ht="13.5" customHeight="1" x14ac:dyDescent="0.2"/>
    <row r="991" s="51" customFormat="1" ht="13.5" customHeight="1" x14ac:dyDescent="0.2"/>
    <row r="992" s="51" customFormat="1" ht="13.5" customHeight="1" x14ac:dyDescent="0.2"/>
    <row r="993" s="51" customFormat="1" ht="13.5" customHeight="1" x14ac:dyDescent="0.2"/>
    <row r="994" s="51" customFormat="1" ht="13.5" customHeight="1" x14ac:dyDescent="0.2"/>
    <row r="995" s="51" customFormat="1" ht="13.5" customHeight="1" x14ac:dyDescent="0.2"/>
    <row r="996" s="51" customFormat="1" ht="13.5" customHeight="1" x14ac:dyDescent="0.2"/>
    <row r="997" s="51" customFormat="1" ht="13.5" customHeight="1" x14ac:dyDescent="0.2"/>
    <row r="998" s="51" customFormat="1" ht="13.5" customHeight="1" x14ac:dyDescent="0.2"/>
    <row r="999" s="51" customFormat="1" ht="13.5" customHeight="1" x14ac:dyDescent="0.2"/>
    <row r="1000" s="51" customFormat="1" ht="13.5" customHeight="1" x14ac:dyDescent="0.2"/>
  </sheetData>
  <mergeCells count="6">
    <mergeCell ref="B34:N34"/>
    <mergeCell ref="B2:N3"/>
    <mergeCell ref="B4:N4"/>
    <mergeCell ref="B8:N8"/>
    <mergeCell ref="B19:N19"/>
    <mergeCell ref="B27:N27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1000"/>
  <sheetViews>
    <sheetView showGridLines="0" workbookViewId="0">
      <selection activeCell="B23" sqref="B23:N23"/>
    </sheetView>
  </sheetViews>
  <sheetFormatPr baseColWidth="10" defaultColWidth="12.6640625" defaultRowHeight="15" customHeight="1" x14ac:dyDescent="0.2"/>
  <cols>
    <col min="1" max="1" width="3.33203125" style="51" customWidth="1"/>
    <col min="2" max="2" width="31" style="51" customWidth="1"/>
    <col min="3" max="14" width="12" style="51" customWidth="1"/>
    <col min="15" max="27" width="8.83203125" style="51" customWidth="1"/>
    <col min="28" max="16384" width="12.6640625" style="51"/>
  </cols>
  <sheetData>
    <row r="2" spans="2:14" ht="13.5" customHeight="1" x14ac:dyDescent="0.2">
      <c r="B2" s="57" t="s">
        <v>211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</row>
    <row r="3" spans="2:14" ht="13.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</row>
    <row r="4" spans="2:14" ht="13.5" customHeight="1" x14ac:dyDescent="0.2">
      <c r="B4" s="74" t="s">
        <v>212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2:14" ht="13.5" customHeight="1" x14ac:dyDescent="0.2"/>
    <row r="6" spans="2:14" ht="13.5" customHeight="1" x14ac:dyDescent="0.2">
      <c r="B6" s="50" t="s">
        <v>183</v>
      </c>
      <c r="C6" s="18">
        <v>46388</v>
      </c>
      <c r="D6" s="18">
        <v>46419</v>
      </c>
      <c r="E6" s="18">
        <v>46447</v>
      </c>
      <c r="F6" s="18">
        <v>46478</v>
      </c>
      <c r="G6" s="18">
        <v>46508</v>
      </c>
      <c r="H6" s="18">
        <v>46539</v>
      </c>
      <c r="I6" s="18">
        <v>46569</v>
      </c>
      <c r="J6" s="18">
        <v>46600</v>
      </c>
      <c r="K6" s="18">
        <v>46631</v>
      </c>
      <c r="L6" s="18">
        <v>46661</v>
      </c>
      <c r="M6" s="18">
        <v>46692</v>
      </c>
      <c r="N6" s="18">
        <v>46722</v>
      </c>
    </row>
    <row r="7" spans="2:14" ht="13.5" customHeight="1" x14ac:dyDescent="0.2"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2:14" ht="13.5" customHeight="1" x14ac:dyDescent="0.2">
      <c r="B8" s="66" t="s">
        <v>213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8"/>
    </row>
    <row r="9" spans="2:14" ht="13.5" customHeight="1" x14ac:dyDescent="0.2">
      <c r="B9" s="19" t="s">
        <v>214</v>
      </c>
      <c r="C9" s="20">
        <f>Assumptions!$F$10</f>
        <v>8</v>
      </c>
      <c r="D9" s="24">
        <f t="shared" ref="D9:N9" si="0">C12</f>
        <v>8.952</v>
      </c>
      <c r="E9" s="24">
        <f t="shared" si="0"/>
        <v>9.8982879999999991</v>
      </c>
      <c r="F9" s="24">
        <f t="shared" si="0"/>
        <v>10.838898272</v>
      </c>
      <c r="G9" s="24">
        <f t="shared" si="0"/>
        <v>11.773864882368001</v>
      </c>
      <c r="H9" s="24">
        <f t="shared" si="0"/>
        <v>12.703221693073793</v>
      </c>
      <c r="I9" s="24">
        <f t="shared" si="0"/>
        <v>13.62700236291535</v>
      </c>
      <c r="J9" s="24">
        <f t="shared" si="0"/>
        <v>14.545240348737858</v>
      </c>
      <c r="K9" s="24">
        <f t="shared" si="0"/>
        <v>15.45796890664543</v>
      </c>
      <c r="L9" s="24">
        <f t="shared" si="0"/>
        <v>16.365221093205559</v>
      </c>
      <c r="M9" s="24">
        <f t="shared" si="0"/>
        <v>17.267029766646324</v>
      </c>
      <c r="N9" s="24">
        <f t="shared" si="0"/>
        <v>18.163427588046446</v>
      </c>
    </row>
    <row r="10" spans="2:14" ht="13.5" customHeight="1" x14ac:dyDescent="0.2">
      <c r="B10" s="19" t="s">
        <v>215</v>
      </c>
      <c r="C10" s="20">
        <f>Assumptions!$F$11</f>
        <v>1</v>
      </c>
      <c r="D10" s="20">
        <f>Assumptions!$F$11</f>
        <v>1</v>
      </c>
      <c r="E10" s="20">
        <f>Assumptions!$F$11</f>
        <v>1</v>
      </c>
      <c r="F10" s="20">
        <f>Assumptions!$F$11</f>
        <v>1</v>
      </c>
      <c r="G10" s="20">
        <f>Assumptions!$F$11</f>
        <v>1</v>
      </c>
      <c r="H10" s="20">
        <f>Assumptions!$F$11</f>
        <v>1</v>
      </c>
      <c r="I10" s="20">
        <f>Assumptions!$F$11</f>
        <v>1</v>
      </c>
      <c r="J10" s="20">
        <f>Assumptions!$F$11</f>
        <v>1</v>
      </c>
      <c r="K10" s="20">
        <f>Assumptions!$F$11</f>
        <v>1</v>
      </c>
      <c r="L10" s="20">
        <f>Assumptions!$F$11</f>
        <v>1</v>
      </c>
      <c r="M10" s="20">
        <f>Assumptions!$F$11</f>
        <v>1</v>
      </c>
      <c r="N10" s="20">
        <f>Assumptions!$F$11</f>
        <v>1</v>
      </c>
    </row>
    <row r="11" spans="2:14" ht="13.5" customHeight="1" x14ac:dyDescent="0.2">
      <c r="B11" s="19" t="s">
        <v>216</v>
      </c>
      <c r="C11" s="20">
        <f>C9*Assumptions!$F$30</f>
        <v>4.8000000000000001E-2</v>
      </c>
      <c r="D11" s="20">
        <f>D9*Assumptions!$F$30</f>
        <v>5.3712000000000003E-2</v>
      </c>
      <c r="E11" s="20">
        <f>E9*Assumptions!$F$30</f>
        <v>5.9389727999999996E-2</v>
      </c>
      <c r="F11" s="20">
        <f>F9*Assumptions!$F$30</f>
        <v>6.5033389632000005E-2</v>
      </c>
      <c r="G11" s="20">
        <f>G9*Assumptions!$F$30</f>
        <v>7.0643189294208E-2</v>
      </c>
      <c r="H11" s="20">
        <f>H9*Assumptions!$F$30</f>
        <v>7.6219330158442761E-2</v>
      </c>
      <c r="I11" s="20">
        <f>I9*Assumptions!$F$30</f>
        <v>8.1762014177492098E-2</v>
      </c>
      <c r="J11" s="20">
        <f>J9*Assumptions!$F$30</f>
        <v>8.7271442092427154E-2</v>
      </c>
      <c r="K11" s="20">
        <f>K9*Assumptions!$F$30</f>
        <v>9.2747813439872581E-2</v>
      </c>
      <c r="L11" s="20">
        <f>L9*Assumptions!$F$30</f>
        <v>9.819132655923335E-2</v>
      </c>
      <c r="M11" s="20">
        <f>M9*Assumptions!$F$30</f>
        <v>0.10360217859987794</v>
      </c>
      <c r="N11" s="20">
        <f>N9*Assumptions!$F$30</f>
        <v>0.10898056552827867</v>
      </c>
    </row>
    <row r="12" spans="2:14" ht="13.5" customHeight="1" x14ac:dyDescent="0.2">
      <c r="B12" s="27" t="s">
        <v>217</v>
      </c>
      <c r="C12" s="28">
        <f t="shared" ref="C12:N12" si="1">C9+C10-C11</f>
        <v>8.952</v>
      </c>
      <c r="D12" s="28">
        <f t="shared" si="1"/>
        <v>9.8982879999999991</v>
      </c>
      <c r="E12" s="28">
        <f t="shared" si="1"/>
        <v>10.838898272</v>
      </c>
      <c r="F12" s="28">
        <f t="shared" si="1"/>
        <v>11.773864882368001</v>
      </c>
      <c r="G12" s="28">
        <f t="shared" si="1"/>
        <v>12.703221693073793</v>
      </c>
      <c r="H12" s="28">
        <f t="shared" si="1"/>
        <v>13.62700236291535</v>
      </c>
      <c r="I12" s="28">
        <f t="shared" si="1"/>
        <v>14.545240348737858</v>
      </c>
      <c r="J12" s="28">
        <f t="shared" si="1"/>
        <v>15.45796890664543</v>
      </c>
      <c r="K12" s="28">
        <f t="shared" si="1"/>
        <v>16.365221093205559</v>
      </c>
      <c r="L12" s="28">
        <f t="shared" si="1"/>
        <v>17.267029766646324</v>
      </c>
      <c r="M12" s="28">
        <f t="shared" si="1"/>
        <v>18.163427588046446</v>
      </c>
      <c r="N12" s="28">
        <f t="shared" si="1"/>
        <v>19.054447022518168</v>
      </c>
    </row>
    <row r="13" spans="2:14" ht="13.5" customHeight="1" x14ac:dyDescent="0.2">
      <c r="B13" s="19" t="s">
        <v>218</v>
      </c>
      <c r="C13" s="21">
        <f>Assumptions!$F$31</f>
        <v>140</v>
      </c>
      <c r="D13" s="21">
        <f>Assumptions!$F$31</f>
        <v>140</v>
      </c>
      <c r="E13" s="21">
        <f>Assumptions!$F$31</f>
        <v>140</v>
      </c>
      <c r="F13" s="21">
        <f>Assumptions!$F$31</f>
        <v>140</v>
      </c>
      <c r="G13" s="21">
        <f>Assumptions!$F$31</f>
        <v>140</v>
      </c>
      <c r="H13" s="21">
        <f>Assumptions!$F$31</f>
        <v>140</v>
      </c>
      <c r="I13" s="21">
        <f>Assumptions!$F$31</f>
        <v>140</v>
      </c>
      <c r="J13" s="21">
        <f>Assumptions!$F$31</f>
        <v>140</v>
      </c>
      <c r="K13" s="21">
        <f>Assumptions!$F$31</f>
        <v>140</v>
      </c>
      <c r="L13" s="21">
        <f>Assumptions!$F$31</f>
        <v>140</v>
      </c>
      <c r="M13" s="21">
        <f>Assumptions!$F$31</f>
        <v>140</v>
      </c>
      <c r="N13" s="21">
        <f>Assumptions!$F$31</f>
        <v>140</v>
      </c>
    </row>
    <row r="14" spans="2:14" ht="13.5" customHeight="1" x14ac:dyDescent="0.2">
      <c r="B14" s="22" t="s">
        <v>43</v>
      </c>
      <c r="C14" s="23">
        <f t="shared" ref="C14:N14" si="2">AVERAGE(C9,C12)*C13/12</f>
        <v>98.886666666666656</v>
      </c>
      <c r="D14" s="23">
        <f t="shared" si="2"/>
        <v>109.96001333333334</v>
      </c>
      <c r="E14" s="23">
        <f t="shared" si="2"/>
        <v>120.96691992</v>
      </c>
      <c r="F14" s="23">
        <f t="shared" si="2"/>
        <v>131.90778506714668</v>
      </c>
      <c r="G14" s="23">
        <f t="shared" si="2"/>
        <v>142.78300502341048</v>
      </c>
      <c r="H14" s="23">
        <f t="shared" si="2"/>
        <v>153.59297365993666</v>
      </c>
      <c r="I14" s="23">
        <f t="shared" si="2"/>
        <v>164.33808248464371</v>
      </c>
      <c r="J14" s="23">
        <f t="shared" si="2"/>
        <v>175.01872065640251</v>
      </c>
      <c r="K14" s="23">
        <f t="shared" si="2"/>
        <v>185.63527499913076</v>
      </c>
      <c r="L14" s="23">
        <f t="shared" si="2"/>
        <v>196.18813001580261</v>
      </c>
      <c r="M14" s="23">
        <f t="shared" si="2"/>
        <v>206.67766790237451</v>
      </c>
      <c r="N14" s="23">
        <f t="shared" si="2"/>
        <v>217.10426856162692</v>
      </c>
    </row>
    <row r="15" spans="2:14" ht="13.5" customHeight="1" x14ac:dyDescent="0.2">
      <c r="B15" s="19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2:14" ht="13.5" customHeight="1" x14ac:dyDescent="0.2">
      <c r="B16" s="66" t="s">
        <v>219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8"/>
    </row>
    <row r="17" spans="2:14" ht="13.5" customHeight="1" x14ac:dyDescent="0.2">
      <c r="B17" s="19" t="s">
        <v>214</v>
      </c>
      <c r="C17" s="20">
        <f>Assumptions!$F$22</f>
        <v>18</v>
      </c>
      <c r="D17" s="24">
        <f t="shared" ref="D17:N17" si="3">C20</f>
        <v>18.891999999999999</v>
      </c>
      <c r="E17" s="24">
        <f t="shared" si="3"/>
        <v>19.778648</v>
      </c>
      <c r="F17" s="24">
        <f t="shared" si="3"/>
        <v>20.659976111999999</v>
      </c>
      <c r="G17" s="24">
        <f t="shared" si="3"/>
        <v>21.536016255328001</v>
      </c>
      <c r="H17" s="24">
        <f t="shared" si="3"/>
        <v>22.406800157796031</v>
      </c>
      <c r="I17" s="24">
        <f t="shared" si="3"/>
        <v>23.272359356849254</v>
      </c>
      <c r="J17" s="24">
        <f t="shared" si="3"/>
        <v>24.132725200708158</v>
      </c>
      <c r="K17" s="24">
        <f t="shared" si="3"/>
        <v>24.987928849503909</v>
      </c>
      <c r="L17" s="24">
        <f t="shared" si="3"/>
        <v>25.838001276406885</v>
      </c>
      <c r="M17" s="24">
        <f t="shared" si="3"/>
        <v>26.682973268748444</v>
      </c>
      <c r="N17" s="24">
        <f t="shared" si="3"/>
        <v>27.522875429135954</v>
      </c>
    </row>
    <row r="18" spans="2:14" ht="13.5" customHeight="1" x14ac:dyDescent="0.2">
      <c r="B18" s="19" t="s">
        <v>215</v>
      </c>
      <c r="C18" s="20">
        <f>Assumptions!$F$23</f>
        <v>1</v>
      </c>
      <c r="D18" s="20">
        <f>Assumptions!$F$23</f>
        <v>1</v>
      </c>
      <c r="E18" s="20">
        <f>Assumptions!$F$23</f>
        <v>1</v>
      </c>
      <c r="F18" s="20">
        <f>Assumptions!$F$23</f>
        <v>1</v>
      </c>
      <c r="G18" s="20">
        <f>Assumptions!$F$23</f>
        <v>1</v>
      </c>
      <c r="H18" s="20">
        <f>Assumptions!$F$23</f>
        <v>1</v>
      </c>
      <c r="I18" s="20">
        <f>Assumptions!$F$23</f>
        <v>1</v>
      </c>
      <c r="J18" s="20">
        <f>Assumptions!$F$23</f>
        <v>1</v>
      </c>
      <c r="K18" s="20">
        <f>Assumptions!$F$23</f>
        <v>1</v>
      </c>
      <c r="L18" s="20">
        <f>Assumptions!$F$23</f>
        <v>1</v>
      </c>
      <c r="M18" s="20">
        <f>Assumptions!$F$23</f>
        <v>1</v>
      </c>
      <c r="N18" s="20">
        <f>Assumptions!$F$23</f>
        <v>1</v>
      </c>
    </row>
    <row r="19" spans="2:14" ht="13.5" customHeight="1" x14ac:dyDescent="0.2">
      <c r="B19" s="19" t="s">
        <v>216</v>
      </c>
      <c r="C19" s="20">
        <f>C17*Assumptions!$F$30</f>
        <v>0.108</v>
      </c>
      <c r="D19" s="20">
        <f>D17*Assumptions!$F$30</f>
        <v>0.11335199999999999</v>
      </c>
      <c r="E19" s="20">
        <f>E17*Assumptions!$F$30</f>
        <v>0.118671888</v>
      </c>
      <c r="F19" s="20">
        <f>F17*Assumptions!$F$30</f>
        <v>0.12395985667199999</v>
      </c>
      <c r="G19" s="20">
        <f>G17*Assumptions!$F$30</f>
        <v>0.129216097531968</v>
      </c>
      <c r="H19" s="20">
        <f>H17*Assumptions!$F$30</f>
        <v>0.13444080094677618</v>
      </c>
      <c r="I19" s="20">
        <f>I17*Assumptions!$F$30</f>
        <v>0.13963415614109553</v>
      </c>
      <c r="J19" s="20">
        <f>J17*Assumptions!$F$30</f>
        <v>0.14479635120424894</v>
      </c>
      <c r="K19" s="20">
        <f>K17*Assumptions!$F$30</f>
        <v>0.14992757309702345</v>
      </c>
      <c r="L19" s="20">
        <f>L17*Assumptions!$F$30</f>
        <v>0.15502800765844132</v>
      </c>
      <c r="M19" s="20">
        <f>M17*Assumptions!$F$30</f>
        <v>0.16009783961249066</v>
      </c>
      <c r="N19" s="20">
        <f>N17*Assumptions!$F$30</f>
        <v>0.16513725257481573</v>
      </c>
    </row>
    <row r="20" spans="2:14" ht="13.5" customHeight="1" x14ac:dyDescent="0.2">
      <c r="B20" s="27" t="s">
        <v>217</v>
      </c>
      <c r="C20" s="28">
        <f t="shared" ref="C20:N20" si="4">C17+C18-C19</f>
        <v>18.891999999999999</v>
      </c>
      <c r="D20" s="28">
        <f t="shared" si="4"/>
        <v>19.778648</v>
      </c>
      <c r="E20" s="28">
        <f t="shared" si="4"/>
        <v>20.659976111999999</v>
      </c>
      <c r="F20" s="28">
        <f t="shared" si="4"/>
        <v>21.536016255328001</v>
      </c>
      <c r="G20" s="28">
        <f t="shared" si="4"/>
        <v>22.406800157796031</v>
      </c>
      <c r="H20" s="28">
        <f t="shared" si="4"/>
        <v>23.272359356849254</v>
      </c>
      <c r="I20" s="28">
        <f t="shared" si="4"/>
        <v>24.132725200708158</v>
      </c>
      <c r="J20" s="28">
        <f t="shared" si="4"/>
        <v>24.987928849503909</v>
      </c>
      <c r="K20" s="28">
        <f t="shared" si="4"/>
        <v>25.838001276406885</v>
      </c>
      <c r="L20" s="28">
        <f t="shared" si="4"/>
        <v>26.682973268748444</v>
      </c>
      <c r="M20" s="28">
        <f t="shared" si="4"/>
        <v>27.522875429135954</v>
      </c>
      <c r="N20" s="28">
        <f t="shared" si="4"/>
        <v>28.357738176561138</v>
      </c>
    </row>
    <row r="21" spans="2:14" ht="13.5" customHeight="1" x14ac:dyDescent="0.2">
      <c r="B21" s="19" t="s">
        <v>218</v>
      </c>
      <c r="C21" s="21">
        <f>Assumptions!$F$32</f>
        <v>165</v>
      </c>
      <c r="D21" s="21">
        <f>Assumptions!$F$32</f>
        <v>165</v>
      </c>
      <c r="E21" s="21">
        <f>Assumptions!$F$32</f>
        <v>165</v>
      </c>
      <c r="F21" s="21">
        <f>Assumptions!$F$32</f>
        <v>165</v>
      </c>
      <c r="G21" s="21">
        <f>Assumptions!$F$32</f>
        <v>165</v>
      </c>
      <c r="H21" s="21">
        <f>Assumptions!$F$32</f>
        <v>165</v>
      </c>
      <c r="I21" s="21">
        <f>Assumptions!$F$32</f>
        <v>165</v>
      </c>
      <c r="J21" s="21">
        <f>Assumptions!$F$32</f>
        <v>165</v>
      </c>
      <c r="K21" s="21">
        <f>Assumptions!$F$32</f>
        <v>165</v>
      </c>
      <c r="L21" s="21">
        <f>Assumptions!$F$32</f>
        <v>165</v>
      </c>
      <c r="M21" s="21">
        <f>Assumptions!$F$32</f>
        <v>165</v>
      </c>
      <c r="N21" s="21">
        <f>Assumptions!$F$32</f>
        <v>165</v>
      </c>
    </row>
    <row r="22" spans="2:14" ht="13.5" customHeight="1" x14ac:dyDescent="0.2">
      <c r="B22" s="22" t="s">
        <v>43</v>
      </c>
      <c r="C22" s="23">
        <f t="shared" ref="C22:N22" si="5">AVERAGE(C17,C20)*C21/12</f>
        <v>253.63249999999996</v>
      </c>
      <c r="D22" s="23">
        <f t="shared" si="5"/>
        <v>265.860705</v>
      </c>
      <c r="E22" s="23">
        <f t="shared" si="5"/>
        <v>278.01554076999997</v>
      </c>
      <c r="F22" s="23">
        <f t="shared" si="5"/>
        <v>290.09744752538001</v>
      </c>
      <c r="G22" s="23">
        <f t="shared" si="5"/>
        <v>302.10686284022773</v>
      </c>
      <c r="H22" s="23">
        <f t="shared" si="5"/>
        <v>314.04422166318631</v>
      </c>
      <c r="I22" s="23">
        <f t="shared" si="5"/>
        <v>325.90995633320722</v>
      </c>
      <c r="J22" s="23">
        <f t="shared" si="5"/>
        <v>337.70449659520796</v>
      </c>
      <c r="K22" s="23">
        <f t="shared" si="5"/>
        <v>349.42826961563674</v>
      </c>
      <c r="L22" s="23">
        <f t="shared" si="5"/>
        <v>361.08169999794285</v>
      </c>
      <c r="M22" s="23">
        <f t="shared" si="5"/>
        <v>372.66520979795524</v>
      </c>
      <c r="N22" s="23">
        <f t="shared" si="5"/>
        <v>384.17921853916755</v>
      </c>
    </row>
    <row r="23" spans="2:14" ht="13.5" customHeight="1" x14ac:dyDescent="0.2">
      <c r="B23" s="1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2:14" ht="13.5" customHeight="1" x14ac:dyDescent="0.2">
      <c r="B24" s="66" t="s">
        <v>220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8"/>
    </row>
    <row r="25" spans="2:14" ht="13.5" customHeight="1" x14ac:dyDescent="0.2">
      <c r="B25" s="19" t="s">
        <v>214</v>
      </c>
      <c r="C25" s="20">
        <f>Assumptions!$F$24</f>
        <v>10</v>
      </c>
      <c r="D25" s="24">
        <f t="shared" ref="D25:N25" si="6">C28</f>
        <v>10.44</v>
      </c>
      <c r="E25" s="24">
        <f t="shared" si="6"/>
        <v>10.877359999999999</v>
      </c>
      <c r="F25" s="24">
        <f t="shared" si="6"/>
        <v>11.31209584</v>
      </c>
      <c r="G25" s="24">
        <f t="shared" si="6"/>
        <v>11.744223264959999</v>
      </c>
      <c r="H25" s="24">
        <f t="shared" si="6"/>
        <v>12.173757925370239</v>
      </c>
      <c r="I25" s="24">
        <f t="shared" si="6"/>
        <v>12.600715377818018</v>
      </c>
      <c r="J25" s="24">
        <f t="shared" si="6"/>
        <v>13.02511108555111</v>
      </c>
      <c r="K25" s="24">
        <f t="shared" si="6"/>
        <v>13.446960419037804</v>
      </c>
      <c r="L25" s="24">
        <f t="shared" si="6"/>
        <v>13.866278656523578</v>
      </c>
      <c r="M25" s="24">
        <f t="shared" si="6"/>
        <v>14.283080984584437</v>
      </c>
      <c r="N25" s="24">
        <f t="shared" si="6"/>
        <v>14.69738249867693</v>
      </c>
    </row>
    <row r="26" spans="2:14" ht="13.5" customHeight="1" x14ac:dyDescent="0.2">
      <c r="B26" s="19" t="s">
        <v>215</v>
      </c>
      <c r="C26" s="20">
        <f>Assumptions!$F$25</f>
        <v>0.5</v>
      </c>
      <c r="D26" s="20">
        <f>Assumptions!$F$25</f>
        <v>0.5</v>
      </c>
      <c r="E26" s="20">
        <f>Assumptions!$F$25</f>
        <v>0.5</v>
      </c>
      <c r="F26" s="20">
        <f>Assumptions!$F$25</f>
        <v>0.5</v>
      </c>
      <c r="G26" s="20">
        <f>Assumptions!$F$25</f>
        <v>0.5</v>
      </c>
      <c r="H26" s="20">
        <f>Assumptions!$F$25</f>
        <v>0.5</v>
      </c>
      <c r="I26" s="20">
        <f>Assumptions!$F$25</f>
        <v>0.5</v>
      </c>
      <c r="J26" s="20">
        <f>Assumptions!$F$25</f>
        <v>0.5</v>
      </c>
      <c r="K26" s="20">
        <f>Assumptions!$F$25</f>
        <v>0.5</v>
      </c>
      <c r="L26" s="20">
        <f>Assumptions!$F$25</f>
        <v>0.5</v>
      </c>
      <c r="M26" s="20">
        <f>Assumptions!$F$25</f>
        <v>0.5</v>
      </c>
      <c r="N26" s="20">
        <f>Assumptions!$F$25</f>
        <v>0.5</v>
      </c>
    </row>
    <row r="27" spans="2:14" ht="13.5" customHeight="1" x14ac:dyDescent="0.2">
      <c r="B27" s="19" t="s">
        <v>216</v>
      </c>
      <c r="C27" s="20">
        <f>C25*Assumptions!$F$30</f>
        <v>0.06</v>
      </c>
      <c r="D27" s="20">
        <f>D25*Assumptions!$F$30</f>
        <v>6.2640000000000001E-2</v>
      </c>
      <c r="E27" s="20">
        <f>E25*Assumptions!$F$30</f>
        <v>6.5264160000000002E-2</v>
      </c>
      <c r="F27" s="20">
        <f>F25*Assumptions!$F$30</f>
        <v>6.7872575039999994E-2</v>
      </c>
      <c r="G27" s="20">
        <f>G25*Assumptions!$F$30</f>
        <v>7.0465339589759993E-2</v>
      </c>
      <c r="H27" s="20">
        <f>H25*Assumptions!$F$30</f>
        <v>7.3042547552221435E-2</v>
      </c>
      <c r="I27" s="20">
        <f>I25*Assumptions!$F$30</f>
        <v>7.560429226690811E-2</v>
      </c>
      <c r="J27" s="20">
        <f>J25*Assumptions!$F$30</f>
        <v>7.8150666513306669E-2</v>
      </c>
      <c r="K27" s="20">
        <f>K25*Assumptions!$F$30</f>
        <v>8.0681762514226832E-2</v>
      </c>
      <c r="L27" s="20">
        <f>L25*Assumptions!$F$30</f>
        <v>8.3197671939141474E-2</v>
      </c>
      <c r="M27" s="20">
        <f>M25*Assumptions!$F$30</f>
        <v>8.569848590750663E-2</v>
      </c>
      <c r="N27" s="20">
        <f>N25*Assumptions!$F$30</f>
        <v>8.8184294992061582E-2</v>
      </c>
    </row>
    <row r="28" spans="2:14" ht="13.5" customHeight="1" x14ac:dyDescent="0.2">
      <c r="B28" s="27" t="s">
        <v>217</v>
      </c>
      <c r="C28" s="28">
        <f t="shared" ref="C28:N28" si="7">C25+C26-C27</f>
        <v>10.44</v>
      </c>
      <c r="D28" s="28">
        <f t="shared" si="7"/>
        <v>10.877359999999999</v>
      </c>
      <c r="E28" s="28">
        <f t="shared" si="7"/>
        <v>11.31209584</v>
      </c>
      <c r="F28" s="28">
        <f t="shared" si="7"/>
        <v>11.744223264959999</v>
      </c>
      <c r="G28" s="28">
        <f t="shared" si="7"/>
        <v>12.173757925370239</v>
      </c>
      <c r="H28" s="28">
        <f t="shared" si="7"/>
        <v>12.600715377818018</v>
      </c>
      <c r="I28" s="28">
        <f t="shared" si="7"/>
        <v>13.02511108555111</v>
      </c>
      <c r="J28" s="28">
        <f t="shared" si="7"/>
        <v>13.446960419037804</v>
      </c>
      <c r="K28" s="28">
        <f t="shared" si="7"/>
        <v>13.866278656523578</v>
      </c>
      <c r="L28" s="28">
        <f t="shared" si="7"/>
        <v>14.283080984584437</v>
      </c>
      <c r="M28" s="28">
        <f t="shared" si="7"/>
        <v>14.69738249867693</v>
      </c>
      <c r="N28" s="28">
        <f t="shared" si="7"/>
        <v>15.109198203684869</v>
      </c>
    </row>
    <row r="29" spans="2:14" ht="13.5" customHeight="1" x14ac:dyDescent="0.2">
      <c r="B29" s="19" t="s">
        <v>218</v>
      </c>
      <c r="C29" s="21">
        <f>Assumptions!$F$33</f>
        <v>145</v>
      </c>
      <c r="D29" s="21">
        <f>Assumptions!$F$33</f>
        <v>145</v>
      </c>
      <c r="E29" s="21">
        <f>Assumptions!$F$33</f>
        <v>145</v>
      </c>
      <c r="F29" s="21">
        <f>Assumptions!$F$33</f>
        <v>145</v>
      </c>
      <c r="G29" s="21">
        <f>Assumptions!$F$33</f>
        <v>145</v>
      </c>
      <c r="H29" s="21">
        <f>Assumptions!$F$33</f>
        <v>145</v>
      </c>
      <c r="I29" s="21">
        <f>Assumptions!$F$33</f>
        <v>145</v>
      </c>
      <c r="J29" s="21">
        <f>Assumptions!$F$33</f>
        <v>145</v>
      </c>
      <c r="K29" s="21">
        <f>Assumptions!$F$33</f>
        <v>145</v>
      </c>
      <c r="L29" s="21">
        <f>Assumptions!$F$33</f>
        <v>145</v>
      </c>
      <c r="M29" s="21">
        <f>Assumptions!$F$33</f>
        <v>145</v>
      </c>
      <c r="N29" s="21">
        <f>Assumptions!$F$33</f>
        <v>145</v>
      </c>
    </row>
    <row r="30" spans="2:14" ht="13.5" customHeight="1" x14ac:dyDescent="0.2">
      <c r="B30" s="22" t="s">
        <v>43</v>
      </c>
      <c r="C30" s="23">
        <f t="shared" ref="C30:N30" si="8">AVERAGE(C25,C28)*C29/12</f>
        <v>123.49166666666666</v>
      </c>
      <c r="D30" s="23">
        <f t="shared" si="8"/>
        <v>128.79238333333333</v>
      </c>
      <c r="E30" s="23">
        <f t="shared" si="8"/>
        <v>134.06129569999999</v>
      </c>
      <c r="F30" s="23">
        <f t="shared" si="8"/>
        <v>139.29859459246663</v>
      </c>
      <c r="G30" s="23">
        <f t="shared" si="8"/>
        <v>144.50446969157852</v>
      </c>
      <c r="H30" s="23">
        <f t="shared" si="8"/>
        <v>149.67910954009574</v>
      </c>
      <c r="I30" s="23">
        <f t="shared" si="8"/>
        <v>154.82270154952184</v>
      </c>
      <c r="J30" s="23">
        <f t="shared" si="8"/>
        <v>159.93543200689138</v>
      </c>
      <c r="K30" s="23">
        <f t="shared" si="8"/>
        <v>165.01748608151669</v>
      </c>
      <c r="L30" s="23">
        <f t="shared" si="8"/>
        <v>170.06904783169423</v>
      </c>
      <c r="M30" s="23">
        <f t="shared" si="8"/>
        <v>175.09030021137076</v>
      </c>
      <c r="N30" s="23">
        <f t="shared" si="8"/>
        <v>180.08142507676919</v>
      </c>
    </row>
    <row r="31" spans="2:14" ht="13.5" customHeight="1" x14ac:dyDescent="0.2">
      <c r="B31" s="1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2:14" ht="13.5" customHeight="1" x14ac:dyDescent="0.2">
      <c r="B32" s="66" t="s">
        <v>221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</row>
    <row r="33" spans="2:14" ht="13.5" customHeight="1" x14ac:dyDescent="0.2">
      <c r="B33" s="19" t="s">
        <v>214</v>
      </c>
      <c r="C33" s="20">
        <f>Assumptions!$F$26</f>
        <v>8</v>
      </c>
      <c r="D33" s="24">
        <f t="shared" ref="D33:N33" si="9">C36</f>
        <v>8.202</v>
      </c>
      <c r="E33" s="24">
        <f t="shared" si="9"/>
        <v>8.4027879999999993</v>
      </c>
      <c r="F33" s="24">
        <f t="shared" si="9"/>
        <v>8.6023712719999992</v>
      </c>
      <c r="G33" s="24">
        <f t="shared" si="9"/>
        <v>8.8007570443679999</v>
      </c>
      <c r="H33" s="24">
        <f t="shared" si="9"/>
        <v>8.9979525021017928</v>
      </c>
      <c r="I33" s="24">
        <f t="shared" si="9"/>
        <v>9.1939647870891825</v>
      </c>
      <c r="J33" s="24">
        <f t="shared" si="9"/>
        <v>9.3888009983666478</v>
      </c>
      <c r="K33" s="24">
        <f t="shared" si="9"/>
        <v>9.5824681923764476</v>
      </c>
      <c r="L33" s="24">
        <f t="shared" si="9"/>
        <v>9.7749733832221892</v>
      </c>
      <c r="M33" s="24">
        <f t="shared" si="9"/>
        <v>9.966323542922856</v>
      </c>
      <c r="N33" s="24">
        <f t="shared" si="9"/>
        <v>10.156525601665319</v>
      </c>
    </row>
    <row r="34" spans="2:14" ht="13.5" customHeight="1" x14ac:dyDescent="0.2">
      <c r="B34" s="19" t="s">
        <v>215</v>
      </c>
      <c r="C34" s="20">
        <f>Assumptions!$F$27</f>
        <v>0.25</v>
      </c>
      <c r="D34" s="20">
        <f>Assumptions!$F$27</f>
        <v>0.25</v>
      </c>
      <c r="E34" s="20">
        <f>Assumptions!$F$27</f>
        <v>0.25</v>
      </c>
      <c r="F34" s="20">
        <f>Assumptions!$F$27</f>
        <v>0.25</v>
      </c>
      <c r="G34" s="20">
        <f>Assumptions!$F$27</f>
        <v>0.25</v>
      </c>
      <c r="H34" s="20">
        <f>Assumptions!$F$27</f>
        <v>0.25</v>
      </c>
      <c r="I34" s="20">
        <f>Assumptions!$F$27</f>
        <v>0.25</v>
      </c>
      <c r="J34" s="20">
        <f>Assumptions!$F$27</f>
        <v>0.25</v>
      </c>
      <c r="K34" s="20">
        <f>Assumptions!$F$27</f>
        <v>0.25</v>
      </c>
      <c r="L34" s="20">
        <f>Assumptions!$F$27</f>
        <v>0.25</v>
      </c>
      <c r="M34" s="20">
        <f>Assumptions!$F$27</f>
        <v>0.25</v>
      </c>
      <c r="N34" s="20">
        <f>Assumptions!$F$27</f>
        <v>0.25</v>
      </c>
    </row>
    <row r="35" spans="2:14" ht="13.5" customHeight="1" x14ac:dyDescent="0.2">
      <c r="B35" s="19" t="s">
        <v>216</v>
      </c>
      <c r="C35" s="20">
        <f>C33*Assumptions!$F$30</f>
        <v>4.8000000000000001E-2</v>
      </c>
      <c r="D35" s="20">
        <f>D33*Assumptions!$F$30</f>
        <v>4.9211999999999999E-2</v>
      </c>
      <c r="E35" s="20">
        <f>E33*Assumptions!$F$30</f>
        <v>5.0416727999999994E-2</v>
      </c>
      <c r="F35" s="20">
        <f>F33*Assumptions!$F$30</f>
        <v>5.1614227632E-2</v>
      </c>
      <c r="G35" s="20">
        <f>G33*Assumptions!$F$30</f>
        <v>5.2804542266208003E-2</v>
      </c>
      <c r="H35" s="20">
        <f>H33*Assumptions!$F$30</f>
        <v>5.3987715012610758E-2</v>
      </c>
      <c r="I35" s="20">
        <f>I33*Assumptions!$F$30</f>
        <v>5.51637887225351E-2</v>
      </c>
      <c r="J35" s="20">
        <f>J33*Assumptions!$F$30</f>
        <v>5.6332805990199887E-2</v>
      </c>
      <c r="K35" s="20">
        <f>K33*Assumptions!$F$30</f>
        <v>5.749480915425869E-2</v>
      </c>
      <c r="L35" s="20">
        <f>L33*Assumptions!$F$30</f>
        <v>5.8649840299333136E-2</v>
      </c>
      <c r="M35" s="20">
        <f>M33*Assumptions!$F$30</f>
        <v>5.9797941257537138E-2</v>
      </c>
      <c r="N35" s="20">
        <f>N33*Assumptions!$F$30</f>
        <v>6.0939153609991914E-2</v>
      </c>
    </row>
    <row r="36" spans="2:14" ht="13.5" customHeight="1" x14ac:dyDescent="0.2">
      <c r="B36" s="27" t="s">
        <v>217</v>
      </c>
      <c r="C36" s="28">
        <f t="shared" ref="C36:N36" si="10">C33+C34-C35</f>
        <v>8.202</v>
      </c>
      <c r="D36" s="28">
        <f t="shared" si="10"/>
        <v>8.4027879999999993</v>
      </c>
      <c r="E36" s="28">
        <f t="shared" si="10"/>
        <v>8.6023712719999992</v>
      </c>
      <c r="F36" s="28">
        <f t="shared" si="10"/>
        <v>8.8007570443679999</v>
      </c>
      <c r="G36" s="28">
        <f t="shared" si="10"/>
        <v>8.9979525021017928</v>
      </c>
      <c r="H36" s="28">
        <f t="shared" si="10"/>
        <v>9.1939647870891825</v>
      </c>
      <c r="I36" s="28">
        <f t="shared" si="10"/>
        <v>9.3888009983666478</v>
      </c>
      <c r="J36" s="28">
        <f t="shared" si="10"/>
        <v>9.5824681923764476</v>
      </c>
      <c r="K36" s="28">
        <f t="shared" si="10"/>
        <v>9.7749733832221892</v>
      </c>
      <c r="L36" s="28">
        <f t="shared" si="10"/>
        <v>9.966323542922856</v>
      </c>
      <c r="M36" s="28">
        <f t="shared" si="10"/>
        <v>10.156525601665319</v>
      </c>
      <c r="N36" s="28">
        <f t="shared" si="10"/>
        <v>10.345586448055327</v>
      </c>
    </row>
    <row r="37" spans="2:14" ht="13.5" customHeight="1" x14ac:dyDescent="0.2">
      <c r="B37" s="19" t="s">
        <v>218</v>
      </c>
      <c r="C37" s="21">
        <f>Assumptions!$F$34</f>
        <v>155</v>
      </c>
      <c r="D37" s="21">
        <f>Assumptions!$F$34</f>
        <v>155</v>
      </c>
      <c r="E37" s="21">
        <f>Assumptions!$F$34</f>
        <v>155</v>
      </c>
      <c r="F37" s="21">
        <f>Assumptions!$F$34</f>
        <v>155</v>
      </c>
      <c r="G37" s="21">
        <f>Assumptions!$F$34</f>
        <v>155</v>
      </c>
      <c r="H37" s="21">
        <f>Assumptions!$F$34</f>
        <v>155</v>
      </c>
      <c r="I37" s="21">
        <f>Assumptions!$F$34</f>
        <v>155</v>
      </c>
      <c r="J37" s="21">
        <f>Assumptions!$F$34</f>
        <v>155</v>
      </c>
      <c r="K37" s="21">
        <f>Assumptions!$F$34</f>
        <v>155</v>
      </c>
      <c r="L37" s="21">
        <f>Assumptions!$F$34</f>
        <v>155</v>
      </c>
      <c r="M37" s="21">
        <f>Assumptions!$F$34</f>
        <v>155</v>
      </c>
      <c r="N37" s="21">
        <f>Assumptions!$F$34</f>
        <v>155</v>
      </c>
    </row>
    <row r="38" spans="2:14" ht="13.5" customHeight="1" x14ac:dyDescent="0.2">
      <c r="B38" s="22" t="s">
        <v>43</v>
      </c>
      <c r="C38" s="23">
        <f t="shared" ref="C38:N38" si="11">AVERAGE(C33,C36)*C37/12</f>
        <v>104.63791666666664</v>
      </c>
      <c r="D38" s="23">
        <f t="shared" si="11"/>
        <v>107.23925583333333</v>
      </c>
      <c r="E38" s="23">
        <f t="shared" si="11"/>
        <v>109.82498696499999</v>
      </c>
      <c r="F38" s="23">
        <f t="shared" si="11"/>
        <v>112.39520370987664</v>
      </c>
      <c r="G38" s="23">
        <f t="shared" si="11"/>
        <v>114.9499991542841</v>
      </c>
      <c r="H38" s="23">
        <f t="shared" si="11"/>
        <v>117.48946582602504</v>
      </c>
      <c r="I38" s="23">
        <f t="shared" si="11"/>
        <v>120.01369569773557</v>
      </c>
      <c r="J38" s="23">
        <f t="shared" si="11"/>
        <v>122.52278019021581</v>
      </c>
      <c r="K38" s="23">
        <f t="shared" si="11"/>
        <v>125.01681017574118</v>
      </c>
      <c r="L38" s="23">
        <f t="shared" si="11"/>
        <v>127.49587598135344</v>
      </c>
      <c r="M38" s="23">
        <f t="shared" si="11"/>
        <v>129.96006739213195</v>
      </c>
      <c r="N38" s="23">
        <f t="shared" si="11"/>
        <v>132.40947365444583</v>
      </c>
    </row>
    <row r="39" spans="2:14" ht="13.5" customHeight="1" x14ac:dyDescent="0.2">
      <c r="B39" s="19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</row>
    <row r="40" spans="2:14" ht="13.5" customHeight="1" x14ac:dyDescent="0.2">
      <c r="B40" s="66" t="s">
        <v>222</v>
      </c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8"/>
    </row>
    <row r="41" spans="2:14" ht="13.5" customHeight="1" x14ac:dyDescent="0.2">
      <c r="B41" s="19" t="s">
        <v>214</v>
      </c>
      <c r="C41" s="20">
        <f>Assumptions!$F$28</f>
        <v>12</v>
      </c>
      <c r="D41" s="24">
        <f t="shared" ref="D41:N41" si="12">C44</f>
        <v>12.428000000000001</v>
      </c>
      <c r="E41" s="24">
        <f t="shared" si="12"/>
        <v>12.853432000000002</v>
      </c>
      <c r="F41" s="24">
        <f t="shared" si="12"/>
        <v>13.276311408000002</v>
      </c>
      <c r="G41" s="24">
        <f t="shared" si="12"/>
        <v>13.696653539552001</v>
      </c>
      <c r="H41" s="24">
        <f t="shared" si="12"/>
        <v>14.114473618314689</v>
      </c>
      <c r="I41" s="24">
        <f t="shared" si="12"/>
        <v>14.5297867766048</v>
      </c>
      <c r="J41" s="24">
        <f t="shared" si="12"/>
        <v>14.94260805594517</v>
      </c>
      <c r="K41" s="24">
        <f t="shared" si="12"/>
        <v>15.352952407609498</v>
      </c>
      <c r="L41" s="24">
        <f t="shared" si="12"/>
        <v>15.760834693163842</v>
      </c>
      <c r="M41" s="24">
        <f t="shared" si="12"/>
        <v>16.16626968500486</v>
      </c>
      <c r="N41" s="24">
        <f t="shared" si="12"/>
        <v>16.569272066894829</v>
      </c>
    </row>
    <row r="42" spans="2:14" ht="13.5" customHeight="1" x14ac:dyDescent="0.2">
      <c r="B42" s="19" t="s">
        <v>215</v>
      </c>
      <c r="C42" s="20">
        <f>Assumptions!$F$29</f>
        <v>0.5</v>
      </c>
      <c r="D42" s="20">
        <f>Assumptions!$F$29</f>
        <v>0.5</v>
      </c>
      <c r="E42" s="20">
        <f>Assumptions!$F$29</f>
        <v>0.5</v>
      </c>
      <c r="F42" s="20">
        <f>Assumptions!$F$29</f>
        <v>0.5</v>
      </c>
      <c r="G42" s="20">
        <f>Assumptions!$F$29</f>
        <v>0.5</v>
      </c>
      <c r="H42" s="20">
        <f>Assumptions!$F$29</f>
        <v>0.5</v>
      </c>
      <c r="I42" s="20">
        <f>Assumptions!$F$29</f>
        <v>0.5</v>
      </c>
      <c r="J42" s="20">
        <f>Assumptions!$F$29</f>
        <v>0.5</v>
      </c>
      <c r="K42" s="20">
        <f>Assumptions!$F$29</f>
        <v>0.5</v>
      </c>
      <c r="L42" s="20">
        <f>Assumptions!$F$29</f>
        <v>0.5</v>
      </c>
      <c r="M42" s="20">
        <f>Assumptions!$F$29</f>
        <v>0.5</v>
      </c>
      <c r="N42" s="20">
        <f>Assumptions!$F$29</f>
        <v>0.5</v>
      </c>
    </row>
    <row r="43" spans="2:14" ht="13.5" customHeight="1" x14ac:dyDescent="0.2">
      <c r="B43" s="19" t="s">
        <v>216</v>
      </c>
      <c r="C43" s="20">
        <f>C41*Assumptions!$F$30</f>
        <v>7.2000000000000008E-2</v>
      </c>
      <c r="D43" s="20">
        <f>D41*Assumptions!$F$30</f>
        <v>7.4568000000000009E-2</v>
      </c>
      <c r="E43" s="20">
        <f>E41*Assumptions!$F$30</f>
        <v>7.7120592000000016E-2</v>
      </c>
      <c r="F43" s="20">
        <f>F41*Assumptions!$F$30</f>
        <v>7.9657868448000005E-2</v>
      </c>
      <c r="G43" s="20">
        <f>G41*Assumptions!$F$30</f>
        <v>8.2179921237312006E-2</v>
      </c>
      <c r="H43" s="20">
        <f>H41*Assumptions!$F$30</f>
        <v>8.4686841709888133E-2</v>
      </c>
      <c r="I43" s="20">
        <f>I41*Assumptions!$F$30</f>
        <v>8.7178720659628797E-2</v>
      </c>
      <c r="J43" s="20">
        <f>J41*Assumptions!$F$30</f>
        <v>8.9655648335671023E-2</v>
      </c>
      <c r="K43" s="20">
        <f>K41*Assumptions!$F$30</f>
        <v>9.2117714445656987E-2</v>
      </c>
      <c r="L43" s="20">
        <f>L41*Assumptions!$F$30</f>
        <v>9.4565008158983055E-2</v>
      </c>
      <c r="M43" s="20">
        <f>M41*Assumptions!$F$30</f>
        <v>9.699761811002916E-2</v>
      </c>
      <c r="N43" s="20">
        <f>N41*Assumptions!$F$30</f>
        <v>9.941563240136897E-2</v>
      </c>
    </row>
    <row r="44" spans="2:14" ht="13.5" customHeight="1" x14ac:dyDescent="0.2">
      <c r="B44" s="27" t="s">
        <v>217</v>
      </c>
      <c r="C44" s="28">
        <f t="shared" ref="C44:N44" si="13">C41+C42-C43</f>
        <v>12.428000000000001</v>
      </c>
      <c r="D44" s="28">
        <f t="shared" si="13"/>
        <v>12.853432000000002</v>
      </c>
      <c r="E44" s="28">
        <f t="shared" si="13"/>
        <v>13.276311408000002</v>
      </c>
      <c r="F44" s="28">
        <f t="shared" si="13"/>
        <v>13.696653539552001</v>
      </c>
      <c r="G44" s="28">
        <f t="shared" si="13"/>
        <v>14.114473618314689</v>
      </c>
      <c r="H44" s="28">
        <f t="shared" si="13"/>
        <v>14.5297867766048</v>
      </c>
      <c r="I44" s="28">
        <f t="shared" si="13"/>
        <v>14.94260805594517</v>
      </c>
      <c r="J44" s="28">
        <f t="shared" si="13"/>
        <v>15.352952407609498</v>
      </c>
      <c r="K44" s="28">
        <f t="shared" si="13"/>
        <v>15.760834693163842</v>
      </c>
      <c r="L44" s="28">
        <f t="shared" si="13"/>
        <v>16.16626968500486</v>
      </c>
      <c r="M44" s="28">
        <f t="shared" si="13"/>
        <v>16.569272066894829</v>
      </c>
      <c r="N44" s="28">
        <f t="shared" si="13"/>
        <v>16.969856434493462</v>
      </c>
    </row>
    <row r="45" spans="2:14" ht="13.5" customHeight="1" x14ac:dyDescent="0.2">
      <c r="B45" s="19" t="s">
        <v>218</v>
      </c>
      <c r="C45" s="21">
        <f>Assumptions!$F$35</f>
        <v>120</v>
      </c>
      <c r="D45" s="21">
        <f>Assumptions!$F$35</f>
        <v>120</v>
      </c>
      <c r="E45" s="21">
        <f>Assumptions!$F$35</f>
        <v>120</v>
      </c>
      <c r="F45" s="21">
        <f>Assumptions!$F$35</f>
        <v>120</v>
      </c>
      <c r="G45" s="21">
        <f>Assumptions!$F$35</f>
        <v>120</v>
      </c>
      <c r="H45" s="21">
        <f>Assumptions!$F$35</f>
        <v>120</v>
      </c>
      <c r="I45" s="21">
        <f>Assumptions!$F$35</f>
        <v>120</v>
      </c>
      <c r="J45" s="21">
        <f>Assumptions!$F$35</f>
        <v>120</v>
      </c>
      <c r="K45" s="21">
        <f>Assumptions!$F$35</f>
        <v>120</v>
      </c>
      <c r="L45" s="21">
        <f>Assumptions!$F$35</f>
        <v>120</v>
      </c>
      <c r="M45" s="21">
        <f>Assumptions!$F$35</f>
        <v>120</v>
      </c>
      <c r="N45" s="21">
        <f>Assumptions!$F$35</f>
        <v>120</v>
      </c>
    </row>
    <row r="46" spans="2:14" ht="13.5" customHeight="1" x14ac:dyDescent="0.2">
      <c r="B46" s="22" t="s">
        <v>43</v>
      </c>
      <c r="C46" s="23">
        <f t="shared" ref="C46:N46" si="14">AVERAGE(C41,C44)*C45/12</f>
        <v>122.14</v>
      </c>
      <c r="D46" s="23">
        <f t="shared" si="14"/>
        <v>126.40716000000002</v>
      </c>
      <c r="E46" s="23">
        <f t="shared" si="14"/>
        <v>130.64871704000001</v>
      </c>
      <c r="F46" s="23">
        <f t="shared" si="14"/>
        <v>134.86482473776002</v>
      </c>
      <c r="G46" s="23">
        <f t="shared" si="14"/>
        <v>139.05563578933345</v>
      </c>
      <c r="H46" s="23">
        <f t="shared" si="14"/>
        <v>143.22130197459742</v>
      </c>
      <c r="I46" s="23">
        <f t="shared" si="14"/>
        <v>147.36197416274985</v>
      </c>
      <c r="J46" s="23">
        <f t="shared" si="14"/>
        <v>151.47780231777332</v>
      </c>
      <c r="K46" s="23">
        <f t="shared" si="14"/>
        <v>155.5689355038667</v>
      </c>
      <c r="L46" s="23">
        <f t="shared" si="14"/>
        <v>159.63552189084351</v>
      </c>
      <c r="M46" s="23">
        <f t="shared" si="14"/>
        <v>163.67770875949844</v>
      </c>
      <c r="N46" s="23">
        <f t="shared" si="14"/>
        <v>167.69564250694145</v>
      </c>
    </row>
    <row r="47" spans="2:14" ht="13.5" customHeight="1" x14ac:dyDescent="0.2">
      <c r="B47" s="19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</row>
    <row r="48" spans="2:14" ht="13.5" customHeight="1" x14ac:dyDescent="0.2">
      <c r="B48" s="66" t="s">
        <v>223</v>
      </c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8"/>
    </row>
    <row r="49" spans="2:14" ht="13.5" customHeight="1" x14ac:dyDescent="0.2">
      <c r="B49" s="27" t="s">
        <v>217</v>
      </c>
      <c r="C49" s="28">
        <f t="shared" ref="C49:N49" si="15">SUM(C12,C20,C28,C36,C44)</f>
        <v>58.914000000000001</v>
      </c>
      <c r="D49" s="28">
        <f t="shared" si="15"/>
        <v>61.810515999999993</v>
      </c>
      <c r="E49" s="28">
        <f t="shared" si="15"/>
        <v>64.689652903999999</v>
      </c>
      <c r="F49" s="28">
        <f t="shared" si="15"/>
        <v>67.551514986575995</v>
      </c>
      <c r="G49" s="28">
        <f t="shared" si="15"/>
        <v>70.396205896656554</v>
      </c>
      <c r="H49" s="28">
        <f t="shared" si="15"/>
        <v>73.223828661276599</v>
      </c>
      <c r="I49" s="28">
        <f t="shared" si="15"/>
        <v>76.034485689308937</v>
      </c>
      <c r="J49" s="28">
        <f t="shared" si="15"/>
        <v>78.828278775173089</v>
      </c>
      <c r="K49" s="28">
        <f t="shared" si="15"/>
        <v>81.605309102522057</v>
      </c>
      <c r="L49" s="28">
        <f t="shared" si="15"/>
        <v>84.36567724790693</v>
      </c>
      <c r="M49" s="28">
        <f t="shared" si="15"/>
        <v>87.109483184419474</v>
      </c>
      <c r="N49" s="28">
        <f t="shared" si="15"/>
        <v>89.836826285312966</v>
      </c>
    </row>
    <row r="50" spans="2:14" ht="13.5" customHeight="1" x14ac:dyDescent="0.2">
      <c r="B50" s="22" t="s">
        <v>43</v>
      </c>
      <c r="C50" s="23">
        <f t="shared" ref="C50:N50" si="16">SUM(C14,C22,C30,C38,C46)</f>
        <v>702.78874999999994</v>
      </c>
      <c r="D50" s="23">
        <f t="shared" si="16"/>
        <v>738.25951750000002</v>
      </c>
      <c r="E50" s="23">
        <f t="shared" si="16"/>
        <v>773.51746039499994</v>
      </c>
      <c r="F50" s="23">
        <f t="shared" si="16"/>
        <v>808.56385563263007</v>
      </c>
      <c r="G50" s="23">
        <f t="shared" si="16"/>
        <v>843.39997249883425</v>
      </c>
      <c r="H50" s="23">
        <f t="shared" si="16"/>
        <v>878.02707266384107</v>
      </c>
      <c r="I50" s="23">
        <f t="shared" si="16"/>
        <v>912.44641022785822</v>
      </c>
      <c r="J50" s="23">
        <f t="shared" si="16"/>
        <v>946.65923176649096</v>
      </c>
      <c r="K50" s="23">
        <f t="shared" si="16"/>
        <v>980.66677637589203</v>
      </c>
      <c r="L50" s="23">
        <f t="shared" si="16"/>
        <v>1014.4702757176366</v>
      </c>
      <c r="M50" s="23">
        <f t="shared" si="16"/>
        <v>1048.0709540633309</v>
      </c>
      <c r="N50" s="23">
        <f t="shared" si="16"/>
        <v>1081.4700283389509</v>
      </c>
    </row>
    <row r="51" spans="2:14" ht="13.5" customHeight="1" x14ac:dyDescent="0.2">
      <c r="B51" s="19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</row>
    <row r="52" spans="2:14" ht="13.5" customHeight="1" x14ac:dyDescent="0.2">
      <c r="B52" s="66" t="s">
        <v>224</v>
      </c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8"/>
    </row>
    <row r="53" spans="2:14" ht="13.5" customHeight="1" x14ac:dyDescent="0.2">
      <c r="B53" s="19" t="s">
        <v>225</v>
      </c>
      <c r="C53" s="20">
        <f>Assumptions!$F$10*(1-Assumptions!$F$30)^1</f>
        <v>7.952</v>
      </c>
      <c r="D53" s="20">
        <f>Assumptions!$F$10*(1-Assumptions!$F$30)^2</f>
        <v>7.9042880000000002</v>
      </c>
      <c r="E53" s="20">
        <f>Assumptions!$F$10*(1-Assumptions!$F$30)^3</f>
        <v>7.8568622719999999</v>
      </c>
      <c r="F53" s="20">
        <f>Assumptions!$F$10*(1-Assumptions!$F$30)^4</f>
        <v>7.8097210983680005</v>
      </c>
      <c r="G53" s="20">
        <f>Assumptions!$F$10*(1-Assumptions!$F$30)^5</f>
        <v>7.7628627717777929</v>
      </c>
      <c r="H53" s="20">
        <f>Assumptions!$F$10*(1-Assumptions!$F$30)^6</f>
        <v>7.7162855951471263</v>
      </c>
      <c r="I53" s="20">
        <f>Assumptions!$F$10*(1-Assumptions!$F$30)^7</f>
        <v>7.669987881576243</v>
      </c>
      <c r="J53" s="20">
        <f>Assumptions!$F$10*(1-Assumptions!$F$30)^8</f>
        <v>7.623967954286786</v>
      </c>
      <c r="K53" s="20">
        <f>Assumptions!$F$10*(1-Assumptions!$F$30)^9</f>
        <v>7.5782241465610651</v>
      </c>
      <c r="L53" s="20">
        <f>Assumptions!$F$10*(1-Assumptions!$F$30)^10</f>
        <v>7.5327548016816994</v>
      </c>
      <c r="M53" s="20">
        <f>Assumptions!$F$10*(1-Assumptions!$F$30)^11</f>
        <v>7.4875582728716088</v>
      </c>
      <c r="N53" s="20">
        <f>Assumptions!$F$10*(1-Assumptions!$F$30)^12</f>
        <v>7.4426329232343793</v>
      </c>
    </row>
    <row r="54" spans="2:14" ht="13.5" customHeight="1" x14ac:dyDescent="0.2">
      <c r="B54" s="19" t="s">
        <v>226</v>
      </c>
      <c r="C54" s="20">
        <f>C10*0.25*(1-Assumptions!$F$30)^0</f>
        <v>0.25</v>
      </c>
      <c r="D54" s="20">
        <f>C10*0.5*(1-Assumptions!$F$30)^1</f>
        <v>0.497</v>
      </c>
      <c r="E54" s="20">
        <f>C10*0.75*(1-Assumptions!$F$30)^2</f>
        <v>0.74102699999999999</v>
      </c>
      <c r="F54" s="20">
        <f>C10*1*(1-Assumptions!$F$30)^3</f>
        <v>0.98210778399999998</v>
      </c>
      <c r="G54" s="20">
        <f>C10*1*(1-Assumptions!$F$30)^4</f>
        <v>0.97621513729600007</v>
      </c>
      <c r="H54" s="20">
        <f>C10*1*(1-Assumptions!$F$30)^5</f>
        <v>0.97035784647222412</v>
      </c>
      <c r="I54" s="20">
        <f>C10*1*(1-Assumptions!$F$30)^6</f>
        <v>0.96453569939339079</v>
      </c>
      <c r="J54" s="20">
        <f>C10*1*(1-Assumptions!$F$30)^7</f>
        <v>0.95874848519703038</v>
      </c>
      <c r="K54" s="20">
        <f>C10*1*(1-Assumptions!$F$30)^8</f>
        <v>0.95299599428584825</v>
      </c>
      <c r="L54" s="20">
        <f>C10*1*(1-Assumptions!$F$30)^9</f>
        <v>0.94727801832013314</v>
      </c>
      <c r="M54" s="20">
        <f>C10*1*(1-Assumptions!$F$30)^10</f>
        <v>0.94159435021021243</v>
      </c>
      <c r="N54" s="20">
        <f>C10*1*(1-Assumptions!$F$30)^11</f>
        <v>0.9359447841089511</v>
      </c>
    </row>
    <row r="55" spans="2:14" ht="13.5" customHeight="1" x14ac:dyDescent="0.2">
      <c r="B55" s="19" t="s">
        <v>227</v>
      </c>
      <c r="C55" s="32">
        <v>0</v>
      </c>
      <c r="D55" s="20">
        <f>D10*0.25*(1-Assumptions!$F$30)^0</f>
        <v>0.25</v>
      </c>
      <c r="E55" s="20">
        <f>D10*0.5*(1-Assumptions!$F$30)^1</f>
        <v>0.497</v>
      </c>
      <c r="F55" s="20">
        <f>D10*0.75*(1-Assumptions!$F$30)^2</f>
        <v>0.74102699999999999</v>
      </c>
      <c r="G55" s="20">
        <f>D10*1*(1-Assumptions!$F$30)^3</f>
        <v>0.98210778399999998</v>
      </c>
      <c r="H55" s="20">
        <f>D10*1*(1-Assumptions!$F$30)^4</f>
        <v>0.97621513729600007</v>
      </c>
      <c r="I55" s="20">
        <f>D10*1*(1-Assumptions!$F$30)^5</f>
        <v>0.97035784647222412</v>
      </c>
      <c r="J55" s="20">
        <f>D10*1*(1-Assumptions!$F$30)^6</f>
        <v>0.96453569939339079</v>
      </c>
      <c r="K55" s="20">
        <f>D10*1*(1-Assumptions!$F$30)^7</f>
        <v>0.95874848519703038</v>
      </c>
      <c r="L55" s="20">
        <f>D10*1*(1-Assumptions!$F$30)^8</f>
        <v>0.95299599428584825</v>
      </c>
      <c r="M55" s="20">
        <f>D10*1*(1-Assumptions!$F$30)^9</f>
        <v>0.94727801832013314</v>
      </c>
      <c r="N55" s="20">
        <f>D10*1*(1-Assumptions!$F$30)^10</f>
        <v>0.94159435021021243</v>
      </c>
    </row>
    <row r="56" spans="2:14" ht="13.5" customHeight="1" x14ac:dyDescent="0.2">
      <c r="B56" s="19" t="s">
        <v>228</v>
      </c>
      <c r="C56" s="32">
        <v>0</v>
      </c>
      <c r="D56" s="32">
        <v>0</v>
      </c>
      <c r="E56" s="20">
        <f>E10*0.25*(1-Assumptions!$F$30)^0</f>
        <v>0.25</v>
      </c>
      <c r="F56" s="20">
        <f>E10*0.5*(1-Assumptions!$F$30)^1</f>
        <v>0.497</v>
      </c>
      <c r="G56" s="20">
        <f>E10*0.75*(1-Assumptions!$F$30)^2</f>
        <v>0.74102699999999999</v>
      </c>
      <c r="H56" s="20">
        <f>E10*1*(1-Assumptions!$F$30)^3</f>
        <v>0.98210778399999998</v>
      </c>
      <c r="I56" s="20">
        <f>E10*1*(1-Assumptions!$F$30)^4</f>
        <v>0.97621513729600007</v>
      </c>
      <c r="J56" s="20">
        <f>E10*1*(1-Assumptions!$F$30)^5</f>
        <v>0.97035784647222412</v>
      </c>
      <c r="K56" s="20">
        <f>E10*1*(1-Assumptions!$F$30)^6</f>
        <v>0.96453569939339079</v>
      </c>
      <c r="L56" s="20">
        <f>E10*1*(1-Assumptions!$F$30)^7</f>
        <v>0.95874848519703038</v>
      </c>
      <c r="M56" s="20">
        <f>E10*1*(1-Assumptions!$F$30)^8</f>
        <v>0.95299599428584825</v>
      </c>
      <c r="N56" s="20">
        <f>E10*1*(1-Assumptions!$F$30)^9</f>
        <v>0.94727801832013314</v>
      </c>
    </row>
    <row r="57" spans="2:14" ht="13.5" customHeight="1" x14ac:dyDescent="0.2">
      <c r="B57" s="19" t="s">
        <v>229</v>
      </c>
      <c r="C57" s="32">
        <v>0</v>
      </c>
      <c r="D57" s="32">
        <v>0</v>
      </c>
      <c r="E57" s="32">
        <v>0</v>
      </c>
      <c r="F57" s="20">
        <f>F10*0.25*(1-Assumptions!$F$30)^0</f>
        <v>0.25</v>
      </c>
      <c r="G57" s="20">
        <f>F10*0.5*(1-Assumptions!$F$30)^1</f>
        <v>0.497</v>
      </c>
      <c r="H57" s="20">
        <f>F10*0.75*(1-Assumptions!$F$30)^2</f>
        <v>0.74102699999999999</v>
      </c>
      <c r="I57" s="20">
        <f>F10*1*(1-Assumptions!$F$30)^3</f>
        <v>0.98210778399999998</v>
      </c>
      <c r="J57" s="20">
        <f>F10*1*(1-Assumptions!$F$30)^4</f>
        <v>0.97621513729600007</v>
      </c>
      <c r="K57" s="20">
        <f>F10*1*(1-Assumptions!$F$30)^5</f>
        <v>0.97035784647222412</v>
      </c>
      <c r="L57" s="20">
        <f>F10*1*(1-Assumptions!$F$30)^6</f>
        <v>0.96453569939339079</v>
      </c>
      <c r="M57" s="20">
        <f>F10*1*(1-Assumptions!$F$30)^7</f>
        <v>0.95874848519703038</v>
      </c>
      <c r="N57" s="20">
        <f>F10*1*(1-Assumptions!$F$30)^8</f>
        <v>0.95299599428584825</v>
      </c>
    </row>
    <row r="58" spans="2:14" ht="13.5" customHeight="1" x14ac:dyDescent="0.2">
      <c r="B58" s="19" t="s">
        <v>230</v>
      </c>
      <c r="C58" s="32">
        <v>0</v>
      </c>
      <c r="D58" s="32">
        <v>0</v>
      </c>
      <c r="E58" s="32">
        <v>0</v>
      </c>
      <c r="F58" s="32">
        <v>0</v>
      </c>
      <c r="G58" s="20">
        <f>G10*0.25*(1-Assumptions!$F$30)^0</f>
        <v>0.25</v>
      </c>
      <c r="H58" s="20">
        <f>G10*0.5*(1-Assumptions!$F$30)^1</f>
        <v>0.497</v>
      </c>
      <c r="I58" s="20">
        <f>G10*0.75*(1-Assumptions!$F$30)^2</f>
        <v>0.74102699999999999</v>
      </c>
      <c r="J58" s="20">
        <f>G10*1*(1-Assumptions!$F$30)^3</f>
        <v>0.98210778399999998</v>
      </c>
      <c r="K58" s="20">
        <f>G10*1*(1-Assumptions!$F$30)^4</f>
        <v>0.97621513729600007</v>
      </c>
      <c r="L58" s="20">
        <f>G10*1*(1-Assumptions!$F$30)^5</f>
        <v>0.97035784647222412</v>
      </c>
      <c r="M58" s="20">
        <f>G10*1*(1-Assumptions!$F$30)^6</f>
        <v>0.96453569939339079</v>
      </c>
      <c r="N58" s="20">
        <f>G10*1*(1-Assumptions!$F$30)^7</f>
        <v>0.95874848519703038</v>
      </c>
    </row>
    <row r="59" spans="2:14" ht="13.5" customHeight="1" x14ac:dyDescent="0.2">
      <c r="B59" s="19" t="s">
        <v>231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20">
        <f>H10*0.25*(1-Assumptions!$F$30)^0</f>
        <v>0.25</v>
      </c>
      <c r="I59" s="20">
        <f>H10*0.5*(1-Assumptions!$F$30)^1</f>
        <v>0.497</v>
      </c>
      <c r="J59" s="20">
        <f>H10*0.75*(1-Assumptions!$F$30)^2</f>
        <v>0.74102699999999999</v>
      </c>
      <c r="K59" s="20">
        <f>H10*1*(1-Assumptions!$F$30)^3</f>
        <v>0.98210778399999998</v>
      </c>
      <c r="L59" s="20">
        <f>H10*1*(1-Assumptions!$F$30)^4</f>
        <v>0.97621513729600007</v>
      </c>
      <c r="M59" s="20">
        <f>H10*1*(1-Assumptions!$F$30)^5</f>
        <v>0.97035784647222412</v>
      </c>
      <c r="N59" s="20">
        <f>H10*1*(1-Assumptions!$F$30)^6</f>
        <v>0.96453569939339079</v>
      </c>
    </row>
    <row r="60" spans="2:14" ht="13.5" customHeight="1" x14ac:dyDescent="0.2">
      <c r="B60" s="19" t="s">
        <v>232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20">
        <f>I10*0.25*(1-Assumptions!$F$30)^0</f>
        <v>0.25</v>
      </c>
      <c r="J60" s="20">
        <f>I10*0.5*(1-Assumptions!$F$30)^1</f>
        <v>0.497</v>
      </c>
      <c r="K60" s="20">
        <f>I10*0.75*(1-Assumptions!$F$30)^2</f>
        <v>0.74102699999999999</v>
      </c>
      <c r="L60" s="20">
        <f>I10*1*(1-Assumptions!$F$30)^3</f>
        <v>0.98210778399999998</v>
      </c>
      <c r="M60" s="20">
        <f>I10*1*(1-Assumptions!$F$30)^4</f>
        <v>0.97621513729600007</v>
      </c>
      <c r="N60" s="20">
        <f>I10*1*(1-Assumptions!$F$30)^5</f>
        <v>0.97035784647222412</v>
      </c>
    </row>
    <row r="61" spans="2:14" ht="13.5" customHeight="1" x14ac:dyDescent="0.2">
      <c r="B61" s="19" t="s">
        <v>233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20">
        <f>J10*0.25*(1-Assumptions!$F$30)^0</f>
        <v>0.25</v>
      </c>
      <c r="K61" s="20">
        <f>J10*0.5*(1-Assumptions!$F$30)^1</f>
        <v>0.497</v>
      </c>
      <c r="L61" s="20">
        <f>J10*0.75*(1-Assumptions!$F$30)^2</f>
        <v>0.74102699999999999</v>
      </c>
      <c r="M61" s="20">
        <f>J10*1*(1-Assumptions!$F$30)^3</f>
        <v>0.98210778399999998</v>
      </c>
      <c r="N61" s="20">
        <f>J10*1*(1-Assumptions!$F$30)^4</f>
        <v>0.97621513729600007</v>
      </c>
    </row>
    <row r="62" spans="2:14" ht="13.5" customHeight="1" x14ac:dyDescent="0.2">
      <c r="B62" s="19" t="s">
        <v>234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20">
        <f>K10*0.25*(1-Assumptions!$F$30)^0</f>
        <v>0.25</v>
      </c>
      <c r="L62" s="20">
        <f>K10*0.5*(1-Assumptions!$F$30)^1</f>
        <v>0.497</v>
      </c>
      <c r="M62" s="20">
        <f>K10*0.75*(1-Assumptions!$F$30)^2</f>
        <v>0.74102699999999999</v>
      </c>
      <c r="N62" s="20">
        <f>K10*1*(1-Assumptions!$F$30)^3</f>
        <v>0.98210778399999998</v>
      </c>
    </row>
    <row r="63" spans="2:14" ht="13.5" customHeight="1" x14ac:dyDescent="0.2">
      <c r="B63" s="19" t="s">
        <v>235</v>
      </c>
      <c r="C63" s="32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20">
        <f>L10*0.25*(1-Assumptions!$F$30)^0</f>
        <v>0.25</v>
      </c>
      <c r="M63" s="20">
        <f>L10*0.5*(1-Assumptions!$F$30)^1</f>
        <v>0.497</v>
      </c>
      <c r="N63" s="20">
        <f>L10*0.75*(1-Assumptions!$F$30)^2</f>
        <v>0.74102699999999999</v>
      </c>
    </row>
    <row r="64" spans="2:14" ht="13.5" customHeight="1" x14ac:dyDescent="0.2">
      <c r="B64" s="19" t="s">
        <v>236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20">
        <f>M10*0.25*(1-Assumptions!$F$30)^0</f>
        <v>0.25</v>
      </c>
      <c r="N64" s="20">
        <f>M10*0.5*(1-Assumptions!$F$30)^1</f>
        <v>0.497</v>
      </c>
    </row>
    <row r="65" spans="2:14" ht="13.5" customHeight="1" x14ac:dyDescent="0.2">
      <c r="B65" s="19" t="s">
        <v>237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20">
        <f>N10*0.25*(1-Assumptions!$F$30)^0</f>
        <v>0.25</v>
      </c>
    </row>
    <row r="66" spans="2:14" ht="13.5" customHeight="1" x14ac:dyDescent="0.2">
      <c r="B66" s="27" t="s">
        <v>238</v>
      </c>
      <c r="C66" s="28">
        <f t="shared" ref="C66:N66" si="17">SUM(C53:C65)</f>
        <v>8.202</v>
      </c>
      <c r="D66" s="28">
        <f t="shared" si="17"/>
        <v>8.651288000000001</v>
      </c>
      <c r="E66" s="28">
        <f t="shared" si="17"/>
        <v>9.3448892719999996</v>
      </c>
      <c r="F66" s="28">
        <f t="shared" si="17"/>
        <v>10.279855882368</v>
      </c>
      <c r="G66" s="28">
        <f t="shared" si="17"/>
        <v>11.209212693073793</v>
      </c>
      <c r="H66" s="28">
        <f t="shared" si="17"/>
        <v>12.132993362915352</v>
      </c>
      <c r="I66" s="28">
        <f t="shared" si="17"/>
        <v>13.051231348737858</v>
      </c>
      <c r="J66" s="28">
        <f t="shared" si="17"/>
        <v>13.963959906645432</v>
      </c>
      <c r="K66" s="28">
        <f t="shared" si="17"/>
        <v>14.87121209320556</v>
      </c>
      <c r="L66" s="28">
        <f t="shared" si="17"/>
        <v>15.773020766646328</v>
      </c>
      <c r="M66" s="28">
        <f t="shared" si="17"/>
        <v>16.669418588046451</v>
      </c>
      <c r="N66" s="28">
        <f t="shared" si="17"/>
        <v>17.56043802251817</v>
      </c>
    </row>
    <row r="67" spans="2:14" ht="13.5" customHeight="1" x14ac:dyDescent="0.2">
      <c r="B67" s="19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</row>
    <row r="68" spans="2:14" ht="13.5" customHeight="1" x14ac:dyDescent="0.2"/>
    <row r="69" spans="2:14" ht="13.5" customHeight="1" x14ac:dyDescent="0.2"/>
    <row r="70" spans="2:14" ht="13.5" customHeight="1" x14ac:dyDescent="0.2"/>
    <row r="71" spans="2:14" ht="13.5" customHeight="1" x14ac:dyDescent="0.2"/>
    <row r="72" spans="2:14" ht="13.5" customHeight="1" x14ac:dyDescent="0.2"/>
    <row r="73" spans="2:14" ht="13.5" customHeight="1" x14ac:dyDescent="0.2"/>
    <row r="74" spans="2:14" ht="13.5" customHeight="1" x14ac:dyDescent="0.2"/>
    <row r="75" spans="2:14" ht="13.5" customHeight="1" x14ac:dyDescent="0.2"/>
    <row r="76" spans="2:14" ht="13.5" customHeight="1" x14ac:dyDescent="0.2"/>
    <row r="77" spans="2:14" ht="13.5" customHeight="1" x14ac:dyDescent="0.2"/>
    <row r="78" spans="2:14" ht="13.5" customHeight="1" x14ac:dyDescent="0.2"/>
    <row r="79" spans="2:14" ht="13.5" customHeight="1" x14ac:dyDescent="0.2"/>
    <row r="80" spans="2:14" ht="13.5" customHeight="1" x14ac:dyDescent="0.2"/>
    <row r="81" s="51" customFormat="1" ht="13.5" customHeight="1" x14ac:dyDescent="0.2"/>
    <row r="82" s="51" customFormat="1" ht="13.5" customHeight="1" x14ac:dyDescent="0.2"/>
    <row r="83" s="51" customFormat="1" ht="13.5" customHeight="1" x14ac:dyDescent="0.2"/>
    <row r="84" s="51" customFormat="1" ht="13.5" customHeight="1" x14ac:dyDescent="0.2"/>
    <row r="85" s="51" customFormat="1" ht="13.5" customHeight="1" x14ac:dyDescent="0.2"/>
    <row r="86" s="51" customFormat="1" ht="13.5" customHeight="1" x14ac:dyDescent="0.2"/>
    <row r="87" s="51" customFormat="1" ht="13.5" customHeight="1" x14ac:dyDescent="0.2"/>
    <row r="88" s="51" customFormat="1" ht="13.5" customHeight="1" x14ac:dyDescent="0.2"/>
    <row r="89" s="51" customFormat="1" ht="13.5" customHeight="1" x14ac:dyDescent="0.2"/>
    <row r="90" s="51" customFormat="1" ht="13.5" customHeight="1" x14ac:dyDescent="0.2"/>
    <row r="91" s="51" customFormat="1" ht="13.5" customHeight="1" x14ac:dyDescent="0.2"/>
    <row r="92" s="51" customFormat="1" ht="13.5" customHeight="1" x14ac:dyDescent="0.2"/>
    <row r="93" s="51" customFormat="1" ht="13.5" customHeight="1" x14ac:dyDescent="0.2"/>
    <row r="94" s="51" customFormat="1" ht="13.5" customHeight="1" x14ac:dyDescent="0.2"/>
    <row r="95" s="51" customFormat="1" ht="13.5" customHeight="1" x14ac:dyDescent="0.2"/>
    <row r="96" s="51" customFormat="1" ht="13.5" customHeight="1" x14ac:dyDescent="0.2"/>
    <row r="97" s="51" customFormat="1" ht="13.5" customHeight="1" x14ac:dyDescent="0.2"/>
    <row r="98" s="51" customFormat="1" ht="13.5" customHeight="1" x14ac:dyDescent="0.2"/>
    <row r="99" s="51" customFormat="1" ht="13.5" customHeight="1" x14ac:dyDescent="0.2"/>
    <row r="100" s="51" customFormat="1" ht="13.5" customHeight="1" x14ac:dyDescent="0.2"/>
    <row r="101" s="51" customFormat="1" ht="13.5" customHeight="1" x14ac:dyDescent="0.2"/>
    <row r="102" s="51" customFormat="1" ht="13.5" customHeight="1" x14ac:dyDescent="0.2"/>
    <row r="103" s="51" customFormat="1" ht="13.5" customHeight="1" x14ac:dyDescent="0.2"/>
    <row r="104" s="51" customFormat="1" ht="13.5" customHeight="1" x14ac:dyDescent="0.2"/>
    <row r="105" s="51" customFormat="1" ht="13.5" customHeight="1" x14ac:dyDescent="0.2"/>
    <row r="106" s="51" customFormat="1" ht="13.5" customHeight="1" x14ac:dyDescent="0.2"/>
    <row r="107" s="51" customFormat="1" ht="13.5" customHeight="1" x14ac:dyDescent="0.2"/>
    <row r="108" s="51" customFormat="1" ht="13.5" customHeight="1" x14ac:dyDescent="0.2"/>
    <row r="109" s="51" customFormat="1" ht="13.5" customHeight="1" x14ac:dyDescent="0.2"/>
    <row r="110" s="51" customFormat="1" ht="13.5" customHeight="1" x14ac:dyDescent="0.2"/>
    <row r="111" s="51" customFormat="1" ht="13.5" customHeight="1" x14ac:dyDescent="0.2"/>
    <row r="112" s="51" customFormat="1" ht="13.5" customHeight="1" x14ac:dyDescent="0.2"/>
    <row r="113" s="51" customFormat="1" ht="13.5" customHeight="1" x14ac:dyDescent="0.2"/>
    <row r="114" s="51" customFormat="1" ht="13.5" customHeight="1" x14ac:dyDescent="0.2"/>
    <row r="115" s="51" customFormat="1" ht="13.5" customHeight="1" x14ac:dyDescent="0.2"/>
    <row r="116" s="51" customFormat="1" ht="13.5" customHeight="1" x14ac:dyDescent="0.2"/>
    <row r="117" s="51" customFormat="1" ht="13.5" customHeight="1" x14ac:dyDescent="0.2"/>
    <row r="118" s="51" customFormat="1" ht="13.5" customHeight="1" x14ac:dyDescent="0.2"/>
    <row r="119" s="51" customFormat="1" ht="13.5" customHeight="1" x14ac:dyDescent="0.2"/>
    <row r="120" s="51" customFormat="1" ht="13.5" customHeight="1" x14ac:dyDescent="0.2"/>
    <row r="121" s="51" customFormat="1" ht="13.5" customHeight="1" x14ac:dyDescent="0.2"/>
    <row r="122" s="51" customFormat="1" ht="13.5" customHeight="1" x14ac:dyDescent="0.2"/>
    <row r="123" s="51" customFormat="1" ht="13.5" customHeight="1" x14ac:dyDescent="0.2"/>
    <row r="124" s="51" customFormat="1" ht="13.5" customHeight="1" x14ac:dyDescent="0.2"/>
    <row r="125" s="51" customFormat="1" ht="13.5" customHeight="1" x14ac:dyDescent="0.2"/>
    <row r="126" s="51" customFormat="1" ht="13.5" customHeight="1" x14ac:dyDescent="0.2"/>
    <row r="127" s="51" customFormat="1" ht="13.5" customHeight="1" x14ac:dyDescent="0.2"/>
    <row r="128" s="51" customFormat="1" ht="13.5" customHeight="1" x14ac:dyDescent="0.2"/>
    <row r="129" s="51" customFormat="1" ht="13.5" customHeight="1" x14ac:dyDescent="0.2"/>
    <row r="130" s="51" customFormat="1" ht="13.5" customHeight="1" x14ac:dyDescent="0.2"/>
    <row r="131" s="51" customFormat="1" ht="13.5" customHeight="1" x14ac:dyDescent="0.2"/>
    <row r="132" s="51" customFormat="1" ht="13.5" customHeight="1" x14ac:dyDescent="0.2"/>
    <row r="133" s="51" customFormat="1" ht="13.5" customHeight="1" x14ac:dyDescent="0.2"/>
    <row r="134" s="51" customFormat="1" ht="13.5" customHeight="1" x14ac:dyDescent="0.2"/>
    <row r="135" s="51" customFormat="1" ht="13.5" customHeight="1" x14ac:dyDescent="0.2"/>
    <row r="136" s="51" customFormat="1" ht="13.5" customHeight="1" x14ac:dyDescent="0.2"/>
    <row r="137" s="51" customFormat="1" ht="13.5" customHeight="1" x14ac:dyDescent="0.2"/>
    <row r="138" s="51" customFormat="1" ht="13.5" customHeight="1" x14ac:dyDescent="0.2"/>
    <row r="139" s="51" customFormat="1" ht="13.5" customHeight="1" x14ac:dyDescent="0.2"/>
    <row r="140" s="51" customFormat="1" ht="13.5" customHeight="1" x14ac:dyDescent="0.2"/>
    <row r="141" s="51" customFormat="1" ht="13.5" customHeight="1" x14ac:dyDescent="0.2"/>
    <row r="142" s="51" customFormat="1" ht="13.5" customHeight="1" x14ac:dyDescent="0.2"/>
    <row r="143" s="51" customFormat="1" ht="13.5" customHeight="1" x14ac:dyDescent="0.2"/>
    <row r="144" s="51" customFormat="1" ht="13.5" customHeight="1" x14ac:dyDescent="0.2"/>
    <row r="145" s="51" customFormat="1" ht="13.5" customHeight="1" x14ac:dyDescent="0.2"/>
    <row r="146" s="51" customFormat="1" ht="13.5" customHeight="1" x14ac:dyDescent="0.2"/>
    <row r="147" s="51" customFormat="1" ht="13.5" customHeight="1" x14ac:dyDescent="0.2"/>
    <row r="148" s="51" customFormat="1" ht="13.5" customHeight="1" x14ac:dyDescent="0.2"/>
    <row r="149" s="51" customFormat="1" ht="13.5" customHeight="1" x14ac:dyDescent="0.2"/>
    <row r="150" s="51" customFormat="1" ht="13.5" customHeight="1" x14ac:dyDescent="0.2"/>
    <row r="151" s="51" customFormat="1" ht="13.5" customHeight="1" x14ac:dyDescent="0.2"/>
    <row r="152" s="51" customFormat="1" ht="13.5" customHeight="1" x14ac:dyDescent="0.2"/>
    <row r="153" s="51" customFormat="1" ht="13.5" customHeight="1" x14ac:dyDescent="0.2"/>
    <row r="154" s="51" customFormat="1" ht="13.5" customHeight="1" x14ac:dyDescent="0.2"/>
    <row r="155" s="51" customFormat="1" ht="13.5" customHeight="1" x14ac:dyDescent="0.2"/>
    <row r="156" s="51" customFormat="1" ht="13.5" customHeight="1" x14ac:dyDescent="0.2"/>
    <row r="157" s="51" customFormat="1" ht="13.5" customHeight="1" x14ac:dyDescent="0.2"/>
    <row r="158" s="51" customFormat="1" ht="13.5" customHeight="1" x14ac:dyDescent="0.2"/>
    <row r="159" s="51" customFormat="1" ht="13.5" customHeight="1" x14ac:dyDescent="0.2"/>
    <row r="160" s="51" customFormat="1" ht="13.5" customHeight="1" x14ac:dyDescent="0.2"/>
    <row r="161" s="51" customFormat="1" ht="13.5" customHeight="1" x14ac:dyDescent="0.2"/>
    <row r="162" s="51" customFormat="1" ht="13.5" customHeight="1" x14ac:dyDescent="0.2"/>
    <row r="163" s="51" customFormat="1" ht="13.5" customHeight="1" x14ac:dyDescent="0.2"/>
    <row r="164" s="51" customFormat="1" ht="13.5" customHeight="1" x14ac:dyDescent="0.2"/>
    <row r="165" s="51" customFormat="1" ht="13.5" customHeight="1" x14ac:dyDescent="0.2"/>
    <row r="166" s="51" customFormat="1" ht="13.5" customHeight="1" x14ac:dyDescent="0.2"/>
    <row r="167" s="51" customFormat="1" ht="13.5" customHeight="1" x14ac:dyDescent="0.2"/>
    <row r="168" s="51" customFormat="1" ht="13.5" customHeight="1" x14ac:dyDescent="0.2"/>
    <row r="169" s="51" customFormat="1" ht="13.5" customHeight="1" x14ac:dyDescent="0.2"/>
    <row r="170" s="51" customFormat="1" ht="13.5" customHeight="1" x14ac:dyDescent="0.2"/>
    <row r="171" s="51" customFormat="1" ht="13.5" customHeight="1" x14ac:dyDescent="0.2"/>
    <row r="172" s="51" customFormat="1" ht="13.5" customHeight="1" x14ac:dyDescent="0.2"/>
    <row r="173" s="51" customFormat="1" ht="13.5" customHeight="1" x14ac:dyDescent="0.2"/>
    <row r="174" s="51" customFormat="1" ht="13.5" customHeight="1" x14ac:dyDescent="0.2"/>
    <row r="175" s="51" customFormat="1" ht="13.5" customHeight="1" x14ac:dyDescent="0.2"/>
    <row r="176" s="51" customFormat="1" ht="13.5" customHeight="1" x14ac:dyDescent="0.2"/>
    <row r="177" s="51" customFormat="1" ht="13.5" customHeight="1" x14ac:dyDescent="0.2"/>
    <row r="178" s="51" customFormat="1" ht="13.5" customHeight="1" x14ac:dyDescent="0.2"/>
    <row r="179" s="51" customFormat="1" ht="13.5" customHeight="1" x14ac:dyDescent="0.2"/>
    <row r="180" s="51" customFormat="1" ht="13.5" customHeight="1" x14ac:dyDescent="0.2"/>
    <row r="181" s="51" customFormat="1" ht="13.5" customHeight="1" x14ac:dyDescent="0.2"/>
    <row r="182" s="51" customFormat="1" ht="13.5" customHeight="1" x14ac:dyDescent="0.2"/>
    <row r="183" s="51" customFormat="1" ht="13.5" customHeight="1" x14ac:dyDescent="0.2"/>
    <row r="184" s="51" customFormat="1" ht="13.5" customHeight="1" x14ac:dyDescent="0.2"/>
    <row r="185" s="51" customFormat="1" ht="13.5" customHeight="1" x14ac:dyDescent="0.2"/>
    <row r="186" s="51" customFormat="1" ht="13.5" customHeight="1" x14ac:dyDescent="0.2"/>
    <row r="187" s="51" customFormat="1" ht="13.5" customHeight="1" x14ac:dyDescent="0.2"/>
    <row r="188" s="51" customFormat="1" ht="13.5" customHeight="1" x14ac:dyDescent="0.2"/>
    <row r="189" s="51" customFormat="1" ht="13.5" customHeight="1" x14ac:dyDescent="0.2"/>
    <row r="190" s="51" customFormat="1" ht="13.5" customHeight="1" x14ac:dyDescent="0.2"/>
    <row r="191" s="51" customFormat="1" ht="13.5" customHeight="1" x14ac:dyDescent="0.2"/>
    <row r="192" s="51" customFormat="1" ht="13.5" customHeight="1" x14ac:dyDescent="0.2"/>
    <row r="193" s="51" customFormat="1" ht="13.5" customHeight="1" x14ac:dyDescent="0.2"/>
    <row r="194" s="51" customFormat="1" ht="13.5" customHeight="1" x14ac:dyDescent="0.2"/>
    <row r="195" s="51" customFormat="1" ht="13.5" customHeight="1" x14ac:dyDescent="0.2"/>
    <row r="196" s="51" customFormat="1" ht="13.5" customHeight="1" x14ac:dyDescent="0.2"/>
    <row r="197" s="51" customFormat="1" ht="13.5" customHeight="1" x14ac:dyDescent="0.2"/>
    <row r="198" s="51" customFormat="1" ht="13.5" customHeight="1" x14ac:dyDescent="0.2"/>
    <row r="199" s="51" customFormat="1" ht="13.5" customHeight="1" x14ac:dyDescent="0.2"/>
    <row r="200" s="51" customFormat="1" ht="13.5" customHeight="1" x14ac:dyDescent="0.2"/>
    <row r="201" s="51" customFormat="1" ht="13.5" customHeight="1" x14ac:dyDescent="0.2"/>
    <row r="202" s="51" customFormat="1" ht="13.5" customHeight="1" x14ac:dyDescent="0.2"/>
    <row r="203" s="51" customFormat="1" ht="13.5" customHeight="1" x14ac:dyDescent="0.2"/>
    <row r="204" s="51" customFormat="1" ht="13.5" customHeight="1" x14ac:dyDescent="0.2"/>
    <row r="205" s="51" customFormat="1" ht="13.5" customHeight="1" x14ac:dyDescent="0.2"/>
    <row r="206" s="51" customFormat="1" ht="13.5" customHeight="1" x14ac:dyDescent="0.2"/>
    <row r="207" s="51" customFormat="1" ht="13.5" customHeight="1" x14ac:dyDescent="0.2"/>
    <row r="208" s="51" customFormat="1" ht="13.5" customHeight="1" x14ac:dyDescent="0.2"/>
    <row r="209" s="51" customFormat="1" ht="13.5" customHeight="1" x14ac:dyDescent="0.2"/>
    <row r="210" s="51" customFormat="1" ht="13.5" customHeight="1" x14ac:dyDescent="0.2"/>
    <row r="211" s="51" customFormat="1" ht="13.5" customHeight="1" x14ac:dyDescent="0.2"/>
    <row r="212" s="51" customFormat="1" ht="13.5" customHeight="1" x14ac:dyDescent="0.2"/>
    <row r="213" s="51" customFormat="1" ht="13.5" customHeight="1" x14ac:dyDescent="0.2"/>
    <row r="214" s="51" customFormat="1" ht="13.5" customHeight="1" x14ac:dyDescent="0.2"/>
    <row r="215" s="51" customFormat="1" ht="13.5" customHeight="1" x14ac:dyDescent="0.2"/>
    <row r="216" s="51" customFormat="1" ht="13.5" customHeight="1" x14ac:dyDescent="0.2"/>
    <row r="217" s="51" customFormat="1" ht="13.5" customHeight="1" x14ac:dyDescent="0.2"/>
    <row r="218" s="51" customFormat="1" ht="13.5" customHeight="1" x14ac:dyDescent="0.2"/>
    <row r="219" s="51" customFormat="1" ht="13.5" customHeight="1" x14ac:dyDescent="0.2"/>
    <row r="220" s="51" customFormat="1" ht="13.5" customHeight="1" x14ac:dyDescent="0.2"/>
    <row r="221" s="51" customFormat="1" ht="13.5" customHeight="1" x14ac:dyDescent="0.2"/>
    <row r="222" s="51" customFormat="1" ht="13.5" customHeight="1" x14ac:dyDescent="0.2"/>
    <row r="223" s="51" customFormat="1" ht="13.5" customHeight="1" x14ac:dyDescent="0.2"/>
    <row r="224" s="51" customFormat="1" ht="13.5" customHeight="1" x14ac:dyDescent="0.2"/>
    <row r="225" s="51" customFormat="1" ht="13.5" customHeight="1" x14ac:dyDescent="0.2"/>
    <row r="226" s="51" customFormat="1" ht="13.5" customHeight="1" x14ac:dyDescent="0.2"/>
    <row r="227" s="51" customFormat="1" ht="13.5" customHeight="1" x14ac:dyDescent="0.2"/>
    <row r="228" s="51" customFormat="1" ht="13.5" customHeight="1" x14ac:dyDescent="0.2"/>
    <row r="229" s="51" customFormat="1" ht="13.5" customHeight="1" x14ac:dyDescent="0.2"/>
    <row r="230" s="51" customFormat="1" ht="13.5" customHeight="1" x14ac:dyDescent="0.2"/>
    <row r="231" s="51" customFormat="1" ht="13.5" customHeight="1" x14ac:dyDescent="0.2"/>
    <row r="232" s="51" customFormat="1" ht="13.5" customHeight="1" x14ac:dyDescent="0.2"/>
    <row r="233" s="51" customFormat="1" ht="13.5" customHeight="1" x14ac:dyDescent="0.2"/>
    <row r="234" s="51" customFormat="1" ht="13.5" customHeight="1" x14ac:dyDescent="0.2"/>
    <row r="235" s="51" customFormat="1" ht="13.5" customHeight="1" x14ac:dyDescent="0.2"/>
    <row r="236" s="51" customFormat="1" ht="13.5" customHeight="1" x14ac:dyDescent="0.2"/>
    <row r="237" s="51" customFormat="1" ht="13.5" customHeight="1" x14ac:dyDescent="0.2"/>
    <row r="238" s="51" customFormat="1" ht="13.5" customHeight="1" x14ac:dyDescent="0.2"/>
    <row r="239" s="51" customFormat="1" ht="13.5" customHeight="1" x14ac:dyDescent="0.2"/>
    <row r="240" s="51" customFormat="1" ht="13.5" customHeight="1" x14ac:dyDescent="0.2"/>
    <row r="241" s="51" customFormat="1" ht="13.5" customHeight="1" x14ac:dyDescent="0.2"/>
    <row r="242" s="51" customFormat="1" ht="13.5" customHeight="1" x14ac:dyDescent="0.2"/>
    <row r="243" s="51" customFormat="1" ht="13.5" customHeight="1" x14ac:dyDescent="0.2"/>
    <row r="244" s="51" customFormat="1" ht="13.5" customHeight="1" x14ac:dyDescent="0.2"/>
    <row r="245" s="51" customFormat="1" ht="13.5" customHeight="1" x14ac:dyDescent="0.2"/>
    <row r="246" s="51" customFormat="1" ht="13.5" customHeight="1" x14ac:dyDescent="0.2"/>
    <row r="247" s="51" customFormat="1" ht="13.5" customHeight="1" x14ac:dyDescent="0.2"/>
    <row r="248" s="51" customFormat="1" ht="13.5" customHeight="1" x14ac:dyDescent="0.2"/>
    <row r="249" s="51" customFormat="1" ht="13.5" customHeight="1" x14ac:dyDescent="0.2"/>
    <row r="250" s="51" customFormat="1" ht="13.5" customHeight="1" x14ac:dyDescent="0.2"/>
    <row r="251" s="51" customFormat="1" ht="13.5" customHeight="1" x14ac:dyDescent="0.2"/>
    <row r="252" s="51" customFormat="1" ht="13.5" customHeight="1" x14ac:dyDescent="0.2"/>
    <row r="253" s="51" customFormat="1" ht="13.5" customHeight="1" x14ac:dyDescent="0.2"/>
    <row r="254" s="51" customFormat="1" ht="13.5" customHeight="1" x14ac:dyDescent="0.2"/>
    <row r="255" s="51" customFormat="1" ht="13.5" customHeight="1" x14ac:dyDescent="0.2"/>
    <row r="256" s="51" customFormat="1" ht="13.5" customHeight="1" x14ac:dyDescent="0.2"/>
    <row r="257" s="51" customFormat="1" ht="13.5" customHeight="1" x14ac:dyDescent="0.2"/>
    <row r="258" s="51" customFormat="1" ht="13.5" customHeight="1" x14ac:dyDescent="0.2"/>
    <row r="259" s="51" customFormat="1" ht="13.5" customHeight="1" x14ac:dyDescent="0.2"/>
    <row r="260" s="51" customFormat="1" ht="13.5" customHeight="1" x14ac:dyDescent="0.2"/>
    <row r="261" s="51" customFormat="1" ht="13.5" customHeight="1" x14ac:dyDescent="0.2"/>
    <row r="262" s="51" customFormat="1" ht="13.5" customHeight="1" x14ac:dyDescent="0.2"/>
    <row r="263" s="51" customFormat="1" ht="13.5" customHeight="1" x14ac:dyDescent="0.2"/>
    <row r="264" s="51" customFormat="1" ht="13.5" customHeight="1" x14ac:dyDescent="0.2"/>
    <row r="265" s="51" customFormat="1" ht="13.5" customHeight="1" x14ac:dyDescent="0.2"/>
    <row r="266" s="51" customFormat="1" ht="13.5" customHeight="1" x14ac:dyDescent="0.2"/>
    <row r="267" s="51" customFormat="1" ht="13.5" customHeight="1" x14ac:dyDescent="0.2"/>
    <row r="268" s="51" customFormat="1" ht="13.5" customHeight="1" x14ac:dyDescent="0.2"/>
    <row r="269" s="51" customFormat="1" ht="13.5" customHeight="1" x14ac:dyDescent="0.2"/>
    <row r="270" s="51" customFormat="1" ht="13.5" customHeight="1" x14ac:dyDescent="0.2"/>
    <row r="271" s="51" customFormat="1" ht="13.5" customHeight="1" x14ac:dyDescent="0.2"/>
    <row r="272" s="51" customFormat="1" ht="13.5" customHeight="1" x14ac:dyDescent="0.2"/>
    <row r="273" s="51" customFormat="1" ht="13.5" customHeight="1" x14ac:dyDescent="0.2"/>
    <row r="274" s="51" customFormat="1" ht="13.5" customHeight="1" x14ac:dyDescent="0.2"/>
    <row r="275" s="51" customFormat="1" ht="13.5" customHeight="1" x14ac:dyDescent="0.2"/>
    <row r="276" s="51" customFormat="1" ht="13.5" customHeight="1" x14ac:dyDescent="0.2"/>
    <row r="277" s="51" customFormat="1" ht="13.5" customHeight="1" x14ac:dyDescent="0.2"/>
    <row r="278" s="51" customFormat="1" ht="13.5" customHeight="1" x14ac:dyDescent="0.2"/>
    <row r="279" s="51" customFormat="1" ht="13.5" customHeight="1" x14ac:dyDescent="0.2"/>
    <row r="280" s="51" customFormat="1" ht="13.5" customHeight="1" x14ac:dyDescent="0.2"/>
    <row r="281" s="51" customFormat="1" ht="13.5" customHeight="1" x14ac:dyDescent="0.2"/>
    <row r="282" s="51" customFormat="1" ht="13.5" customHeight="1" x14ac:dyDescent="0.2"/>
    <row r="283" s="51" customFormat="1" ht="13.5" customHeight="1" x14ac:dyDescent="0.2"/>
    <row r="284" s="51" customFormat="1" ht="13.5" customHeight="1" x14ac:dyDescent="0.2"/>
    <row r="285" s="51" customFormat="1" ht="13.5" customHeight="1" x14ac:dyDescent="0.2"/>
    <row r="286" s="51" customFormat="1" ht="13.5" customHeight="1" x14ac:dyDescent="0.2"/>
    <row r="287" s="51" customFormat="1" ht="13.5" customHeight="1" x14ac:dyDescent="0.2"/>
    <row r="288" s="51" customFormat="1" ht="13.5" customHeight="1" x14ac:dyDescent="0.2"/>
    <row r="289" s="51" customFormat="1" ht="13.5" customHeight="1" x14ac:dyDescent="0.2"/>
    <row r="290" s="51" customFormat="1" ht="13.5" customHeight="1" x14ac:dyDescent="0.2"/>
    <row r="291" s="51" customFormat="1" ht="13.5" customHeight="1" x14ac:dyDescent="0.2"/>
    <row r="292" s="51" customFormat="1" ht="13.5" customHeight="1" x14ac:dyDescent="0.2"/>
    <row r="293" s="51" customFormat="1" ht="13.5" customHeight="1" x14ac:dyDescent="0.2"/>
    <row r="294" s="51" customFormat="1" ht="13.5" customHeight="1" x14ac:dyDescent="0.2"/>
    <row r="295" s="51" customFormat="1" ht="13.5" customHeight="1" x14ac:dyDescent="0.2"/>
    <row r="296" s="51" customFormat="1" ht="13.5" customHeight="1" x14ac:dyDescent="0.2"/>
    <row r="297" s="51" customFormat="1" ht="13.5" customHeight="1" x14ac:dyDescent="0.2"/>
    <row r="298" s="51" customFormat="1" ht="13.5" customHeight="1" x14ac:dyDescent="0.2"/>
    <row r="299" s="51" customFormat="1" ht="13.5" customHeight="1" x14ac:dyDescent="0.2"/>
    <row r="300" s="51" customFormat="1" ht="13.5" customHeight="1" x14ac:dyDescent="0.2"/>
    <row r="301" s="51" customFormat="1" ht="13.5" customHeight="1" x14ac:dyDescent="0.2"/>
    <row r="302" s="51" customFormat="1" ht="13.5" customHeight="1" x14ac:dyDescent="0.2"/>
    <row r="303" s="51" customFormat="1" ht="13.5" customHeight="1" x14ac:dyDescent="0.2"/>
    <row r="304" s="51" customFormat="1" ht="13.5" customHeight="1" x14ac:dyDescent="0.2"/>
    <row r="305" s="51" customFormat="1" ht="13.5" customHeight="1" x14ac:dyDescent="0.2"/>
    <row r="306" s="51" customFormat="1" ht="13.5" customHeight="1" x14ac:dyDescent="0.2"/>
    <row r="307" s="51" customFormat="1" ht="13.5" customHeight="1" x14ac:dyDescent="0.2"/>
    <row r="308" s="51" customFormat="1" ht="13.5" customHeight="1" x14ac:dyDescent="0.2"/>
    <row r="309" s="51" customFormat="1" ht="13.5" customHeight="1" x14ac:dyDescent="0.2"/>
    <row r="310" s="51" customFormat="1" ht="13.5" customHeight="1" x14ac:dyDescent="0.2"/>
    <row r="311" s="51" customFormat="1" ht="13.5" customHeight="1" x14ac:dyDescent="0.2"/>
    <row r="312" s="51" customFormat="1" ht="13.5" customHeight="1" x14ac:dyDescent="0.2"/>
    <row r="313" s="51" customFormat="1" ht="13.5" customHeight="1" x14ac:dyDescent="0.2"/>
    <row r="314" s="51" customFormat="1" ht="13.5" customHeight="1" x14ac:dyDescent="0.2"/>
    <row r="315" s="51" customFormat="1" ht="13.5" customHeight="1" x14ac:dyDescent="0.2"/>
    <row r="316" s="51" customFormat="1" ht="13.5" customHeight="1" x14ac:dyDescent="0.2"/>
    <row r="317" s="51" customFormat="1" ht="13.5" customHeight="1" x14ac:dyDescent="0.2"/>
    <row r="318" s="51" customFormat="1" ht="13.5" customHeight="1" x14ac:dyDescent="0.2"/>
    <row r="319" s="51" customFormat="1" ht="13.5" customHeight="1" x14ac:dyDescent="0.2"/>
    <row r="320" s="51" customFormat="1" ht="13.5" customHeight="1" x14ac:dyDescent="0.2"/>
    <row r="321" s="51" customFormat="1" ht="13.5" customHeight="1" x14ac:dyDescent="0.2"/>
    <row r="322" s="51" customFormat="1" ht="13.5" customHeight="1" x14ac:dyDescent="0.2"/>
    <row r="323" s="51" customFormat="1" ht="13.5" customHeight="1" x14ac:dyDescent="0.2"/>
    <row r="324" s="51" customFormat="1" ht="13.5" customHeight="1" x14ac:dyDescent="0.2"/>
    <row r="325" s="51" customFormat="1" ht="13.5" customHeight="1" x14ac:dyDescent="0.2"/>
    <row r="326" s="51" customFormat="1" ht="13.5" customHeight="1" x14ac:dyDescent="0.2"/>
    <row r="327" s="51" customFormat="1" ht="13.5" customHeight="1" x14ac:dyDescent="0.2"/>
    <row r="328" s="51" customFormat="1" ht="13.5" customHeight="1" x14ac:dyDescent="0.2"/>
    <row r="329" s="51" customFormat="1" ht="13.5" customHeight="1" x14ac:dyDescent="0.2"/>
    <row r="330" s="51" customFormat="1" ht="13.5" customHeight="1" x14ac:dyDescent="0.2"/>
    <row r="331" s="51" customFormat="1" ht="13.5" customHeight="1" x14ac:dyDescent="0.2"/>
    <row r="332" s="51" customFormat="1" ht="13.5" customHeight="1" x14ac:dyDescent="0.2"/>
    <row r="333" s="51" customFormat="1" ht="13.5" customHeight="1" x14ac:dyDescent="0.2"/>
    <row r="334" s="51" customFormat="1" ht="13.5" customHeight="1" x14ac:dyDescent="0.2"/>
    <row r="335" s="51" customFormat="1" ht="13.5" customHeight="1" x14ac:dyDescent="0.2"/>
    <row r="336" s="51" customFormat="1" ht="13.5" customHeight="1" x14ac:dyDescent="0.2"/>
    <row r="337" s="51" customFormat="1" ht="13.5" customHeight="1" x14ac:dyDescent="0.2"/>
    <row r="338" s="51" customFormat="1" ht="13.5" customHeight="1" x14ac:dyDescent="0.2"/>
    <row r="339" s="51" customFormat="1" ht="13.5" customHeight="1" x14ac:dyDescent="0.2"/>
    <row r="340" s="51" customFormat="1" ht="13.5" customHeight="1" x14ac:dyDescent="0.2"/>
    <row r="341" s="51" customFormat="1" ht="13.5" customHeight="1" x14ac:dyDescent="0.2"/>
    <row r="342" s="51" customFormat="1" ht="13.5" customHeight="1" x14ac:dyDescent="0.2"/>
    <row r="343" s="51" customFormat="1" ht="13.5" customHeight="1" x14ac:dyDescent="0.2"/>
    <row r="344" s="51" customFormat="1" ht="13.5" customHeight="1" x14ac:dyDescent="0.2"/>
    <row r="345" s="51" customFormat="1" ht="13.5" customHeight="1" x14ac:dyDescent="0.2"/>
    <row r="346" s="51" customFormat="1" ht="13.5" customHeight="1" x14ac:dyDescent="0.2"/>
    <row r="347" s="51" customFormat="1" ht="13.5" customHeight="1" x14ac:dyDescent="0.2"/>
    <row r="348" s="51" customFormat="1" ht="13.5" customHeight="1" x14ac:dyDescent="0.2"/>
    <row r="349" s="51" customFormat="1" ht="13.5" customHeight="1" x14ac:dyDescent="0.2"/>
    <row r="350" s="51" customFormat="1" ht="13.5" customHeight="1" x14ac:dyDescent="0.2"/>
    <row r="351" s="51" customFormat="1" ht="13.5" customHeight="1" x14ac:dyDescent="0.2"/>
    <row r="352" s="51" customFormat="1" ht="13.5" customHeight="1" x14ac:dyDescent="0.2"/>
    <row r="353" s="51" customFormat="1" ht="13.5" customHeight="1" x14ac:dyDescent="0.2"/>
    <row r="354" s="51" customFormat="1" ht="13.5" customHeight="1" x14ac:dyDescent="0.2"/>
    <row r="355" s="51" customFormat="1" ht="13.5" customHeight="1" x14ac:dyDescent="0.2"/>
    <row r="356" s="51" customFormat="1" ht="13.5" customHeight="1" x14ac:dyDescent="0.2"/>
    <row r="357" s="51" customFormat="1" ht="13.5" customHeight="1" x14ac:dyDescent="0.2"/>
    <row r="358" s="51" customFormat="1" ht="13.5" customHeight="1" x14ac:dyDescent="0.2"/>
    <row r="359" s="51" customFormat="1" ht="13.5" customHeight="1" x14ac:dyDescent="0.2"/>
    <row r="360" s="51" customFormat="1" ht="13.5" customHeight="1" x14ac:dyDescent="0.2"/>
    <row r="361" s="51" customFormat="1" ht="13.5" customHeight="1" x14ac:dyDescent="0.2"/>
    <row r="362" s="51" customFormat="1" ht="13.5" customHeight="1" x14ac:dyDescent="0.2"/>
    <row r="363" s="51" customFormat="1" ht="13.5" customHeight="1" x14ac:dyDescent="0.2"/>
    <row r="364" s="51" customFormat="1" ht="13.5" customHeight="1" x14ac:dyDescent="0.2"/>
    <row r="365" s="51" customFormat="1" ht="13.5" customHeight="1" x14ac:dyDescent="0.2"/>
    <row r="366" s="51" customFormat="1" ht="13.5" customHeight="1" x14ac:dyDescent="0.2"/>
    <row r="367" s="51" customFormat="1" ht="13.5" customHeight="1" x14ac:dyDescent="0.2"/>
    <row r="368" s="51" customFormat="1" ht="13.5" customHeight="1" x14ac:dyDescent="0.2"/>
    <row r="369" s="51" customFormat="1" ht="13.5" customHeight="1" x14ac:dyDescent="0.2"/>
    <row r="370" s="51" customFormat="1" ht="13.5" customHeight="1" x14ac:dyDescent="0.2"/>
    <row r="371" s="51" customFormat="1" ht="13.5" customHeight="1" x14ac:dyDescent="0.2"/>
    <row r="372" s="51" customFormat="1" ht="13.5" customHeight="1" x14ac:dyDescent="0.2"/>
    <row r="373" s="51" customFormat="1" ht="13.5" customHeight="1" x14ac:dyDescent="0.2"/>
    <row r="374" s="51" customFormat="1" ht="13.5" customHeight="1" x14ac:dyDescent="0.2"/>
    <row r="375" s="51" customFormat="1" ht="13.5" customHeight="1" x14ac:dyDescent="0.2"/>
    <row r="376" s="51" customFormat="1" ht="13.5" customHeight="1" x14ac:dyDescent="0.2"/>
    <row r="377" s="51" customFormat="1" ht="13.5" customHeight="1" x14ac:dyDescent="0.2"/>
    <row r="378" s="51" customFormat="1" ht="13.5" customHeight="1" x14ac:dyDescent="0.2"/>
    <row r="379" s="51" customFormat="1" ht="13.5" customHeight="1" x14ac:dyDescent="0.2"/>
    <row r="380" s="51" customFormat="1" ht="13.5" customHeight="1" x14ac:dyDescent="0.2"/>
    <row r="381" s="51" customFormat="1" ht="13.5" customHeight="1" x14ac:dyDescent="0.2"/>
    <row r="382" s="51" customFormat="1" ht="13.5" customHeight="1" x14ac:dyDescent="0.2"/>
    <row r="383" s="51" customFormat="1" ht="13.5" customHeight="1" x14ac:dyDescent="0.2"/>
    <row r="384" s="51" customFormat="1" ht="13.5" customHeight="1" x14ac:dyDescent="0.2"/>
    <row r="385" s="51" customFormat="1" ht="13.5" customHeight="1" x14ac:dyDescent="0.2"/>
    <row r="386" s="51" customFormat="1" ht="13.5" customHeight="1" x14ac:dyDescent="0.2"/>
    <row r="387" s="51" customFormat="1" ht="13.5" customHeight="1" x14ac:dyDescent="0.2"/>
    <row r="388" s="51" customFormat="1" ht="13.5" customHeight="1" x14ac:dyDescent="0.2"/>
    <row r="389" s="51" customFormat="1" ht="13.5" customHeight="1" x14ac:dyDescent="0.2"/>
    <row r="390" s="51" customFormat="1" ht="13.5" customHeight="1" x14ac:dyDescent="0.2"/>
    <row r="391" s="51" customFormat="1" ht="13.5" customHeight="1" x14ac:dyDescent="0.2"/>
    <row r="392" s="51" customFormat="1" ht="13.5" customHeight="1" x14ac:dyDescent="0.2"/>
    <row r="393" s="51" customFormat="1" ht="13.5" customHeight="1" x14ac:dyDescent="0.2"/>
    <row r="394" s="51" customFormat="1" ht="13.5" customHeight="1" x14ac:dyDescent="0.2"/>
    <row r="395" s="51" customFormat="1" ht="13.5" customHeight="1" x14ac:dyDescent="0.2"/>
    <row r="396" s="51" customFormat="1" ht="13.5" customHeight="1" x14ac:dyDescent="0.2"/>
    <row r="397" s="51" customFormat="1" ht="13.5" customHeight="1" x14ac:dyDescent="0.2"/>
    <row r="398" s="51" customFormat="1" ht="13.5" customHeight="1" x14ac:dyDescent="0.2"/>
    <row r="399" s="51" customFormat="1" ht="13.5" customHeight="1" x14ac:dyDescent="0.2"/>
    <row r="400" s="51" customFormat="1" ht="13.5" customHeight="1" x14ac:dyDescent="0.2"/>
    <row r="401" s="51" customFormat="1" ht="13.5" customHeight="1" x14ac:dyDescent="0.2"/>
    <row r="402" s="51" customFormat="1" ht="13.5" customHeight="1" x14ac:dyDescent="0.2"/>
    <row r="403" s="51" customFormat="1" ht="13.5" customHeight="1" x14ac:dyDescent="0.2"/>
    <row r="404" s="51" customFormat="1" ht="13.5" customHeight="1" x14ac:dyDescent="0.2"/>
    <row r="405" s="51" customFormat="1" ht="13.5" customHeight="1" x14ac:dyDescent="0.2"/>
    <row r="406" s="51" customFormat="1" ht="13.5" customHeight="1" x14ac:dyDescent="0.2"/>
    <row r="407" s="51" customFormat="1" ht="13.5" customHeight="1" x14ac:dyDescent="0.2"/>
    <row r="408" s="51" customFormat="1" ht="13.5" customHeight="1" x14ac:dyDescent="0.2"/>
    <row r="409" s="51" customFormat="1" ht="13.5" customHeight="1" x14ac:dyDescent="0.2"/>
    <row r="410" s="51" customFormat="1" ht="13.5" customHeight="1" x14ac:dyDescent="0.2"/>
    <row r="411" s="51" customFormat="1" ht="13.5" customHeight="1" x14ac:dyDescent="0.2"/>
    <row r="412" s="51" customFormat="1" ht="13.5" customHeight="1" x14ac:dyDescent="0.2"/>
    <row r="413" s="51" customFormat="1" ht="13.5" customHeight="1" x14ac:dyDescent="0.2"/>
    <row r="414" s="51" customFormat="1" ht="13.5" customHeight="1" x14ac:dyDescent="0.2"/>
    <row r="415" s="51" customFormat="1" ht="13.5" customHeight="1" x14ac:dyDescent="0.2"/>
    <row r="416" s="51" customFormat="1" ht="13.5" customHeight="1" x14ac:dyDescent="0.2"/>
    <row r="417" s="51" customFormat="1" ht="13.5" customHeight="1" x14ac:dyDescent="0.2"/>
    <row r="418" s="51" customFormat="1" ht="13.5" customHeight="1" x14ac:dyDescent="0.2"/>
    <row r="419" s="51" customFormat="1" ht="13.5" customHeight="1" x14ac:dyDescent="0.2"/>
    <row r="420" s="51" customFormat="1" ht="13.5" customHeight="1" x14ac:dyDescent="0.2"/>
    <row r="421" s="51" customFormat="1" ht="13.5" customHeight="1" x14ac:dyDescent="0.2"/>
    <row r="422" s="51" customFormat="1" ht="13.5" customHeight="1" x14ac:dyDescent="0.2"/>
    <row r="423" s="51" customFormat="1" ht="13.5" customHeight="1" x14ac:dyDescent="0.2"/>
    <row r="424" s="51" customFormat="1" ht="13.5" customHeight="1" x14ac:dyDescent="0.2"/>
    <row r="425" s="51" customFormat="1" ht="13.5" customHeight="1" x14ac:dyDescent="0.2"/>
    <row r="426" s="51" customFormat="1" ht="13.5" customHeight="1" x14ac:dyDescent="0.2"/>
    <row r="427" s="51" customFormat="1" ht="13.5" customHeight="1" x14ac:dyDescent="0.2"/>
    <row r="428" s="51" customFormat="1" ht="13.5" customHeight="1" x14ac:dyDescent="0.2"/>
    <row r="429" s="51" customFormat="1" ht="13.5" customHeight="1" x14ac:dyDescent="0.2"/>
    <row r="430" s="51" customFormat="1" ht="13.5" customHeight="1" x14ac:dyDescent="0.2"/>
    <row r="431" s="51" customFormat="1" ht="13.5" customHeight="1" x14ac:dyDescent="0.2"/>
    <row r="432" s="51" customFormat="1" ht="13.5" customHeight="1" x14ac:dyDescent="0.2"/>
    <row r="433" s="51" customFormat="1" ht="13.5" customHeight="1" x14ac:dyDescent="0.2"/>
    <row r="434" s="51" customFormat="1" ht="13.5" customHeight="1" x14ac:dyDescent="0.2"/>
    <row r="435" s="51" customFormat="1" ht="13.5" customHeight="1" x14ac:dyDescent="0.2"/>
    <row r="436" s="51" customFormat="1" ht="13.5" customHeight="1" x14ac:dyDescent="0.2"/>
    <row r="437" s="51" customFormat="1" ht="13.5" customHeight="1" x14ac:dyDescent="0.2"/>
    <row r="438" s="51" customFormat="1" ht="13.5" customHeight="1" x14ac:dyDescent="0.2"/>
    <row r="439" s="51" customFormat="1" ht="13.5" customHeight="1" x14ac:dyDescent="0.2"/>
    <row r="440" s="51" customFormat="1" ht="13.5" customHeight="1" x14ac:dyDescent="0.2"/>
    <row r="441" s="51" customFormat="1" ht="13.5" customHeight="1" x14ac:dyDescent="0.2"/>
    <row r="442" s="51" customFormat="1" ht="13.5" customHeight="1" x14ac:dyDescent="0.2"/>
    <row r="443" s="51" customFormat="1" ht="13.5" customHeight="1" x14ac:dyDescent="0.2"/>
    <row r="444" s="51" customFormat="1" ht="13.5" customHeight="1" x14ac:dyDescent="0.2"/>
    <row r="445" s="51" customFormat="1" ht="13.5" customHeight="1" x14ac:dyDescent="0.2"/>
    <row r="446" s="51" customFormat="1" ht="13.5" customHeight="1" x14ac:dyDescent="0.2"/>
    <row r="447" s="51" customFormat="1" ht="13.5" customHeight="1" x14ac:dyDescent="0.2"/>
    <row r="448" s="51" customFormat="1" ht="13.5" customHeight="1" x14ac:dyDescent="0.2"/>
    <row r="449" s="51" customFormat="1" ht="13.5" customHeight="1" x14ac:dyDescent="0.2"/>
    <row r="450" s="51" customFormat="1" ht="13.5" customHeight="1" x14ac:dyDescent="0.2"/>
    <row r="451" s="51" customFormat="1" ht="13.5" customHeight="1" x14ac:dyDescent="0.2"/>
    <row r="452" s="51" customFormat="1" ht="13.5" customHeight="1" x14ac:dyDescent="0.2"/>
    <row r="453" s="51" customFormat="1" ht="13.5" customHeight="1" x14ac:dyDescent="0.2"/>
    <row r="454" s="51" customFormat="1" ht="13.5" customHeight="1" x14ac:dyDescent="0.2"/>
    <row r="455" s="51" customFormat="1" ht="13.5" customHeight="1" x14ac:dyDescent="0.2"/>
    <row r="456" s="51" customFormat="1" ht="13.5" customHeight="1" x14ac:dyDescent="0.2"/>
    <row r="457" s="51" customFormat="1" ht="13.5" customHeight="1" x14ac:dyDescent="0.2"/>
    <row r="458" s="51" customFormat="1" ht="13.5" customHeight="1" x14ac:dyDescent="0.2"/>
    <row r="459" s="51" customFormat="1" ht="13.5" customHeight="1" x14ac:dyDescent="0.2"/>
    <row r="460" s="51" customFormat="1" ht="13.5" customHeight="1" x14ac:dyDescent="0.2"/>
    <row r="461" s="51" customFormat="1" ht="13.5" customHeight="1" x14ac:dyDescent="0.2"/>
    <row r="462" s="51" customFormat="1" ht="13.5" customHeight="1" x14ac:dyDescent="0.2"/>
    <row r="463" s="51" customFormat="1" ht="13.5" customHeight="1" x14ac:dyDescent="0.2"/>
    <row r="464" s="51" customFormat="1" ht="13.5" customHeight="1" x14ac:dyDescent="0.2"/>
    <row r="465" s="51" customFormat="1" ht="13.5" customHeight="1" x14ac:dyDescent="0.2"/>
    <row r="466" s="51" customFormat="1" ht="13.5" customHeight="1" x14ac:dyDescent="0.2"/>
    <row r="467" s="51" customFormat="1" ht="13.5" customHeight="1" x14ac:dyDescent="0.2"/>
    <row r="468" s="51" customFormat="1" ht="13.5" customHeight="1" x14ac:dyDescent="0.2"/>
    <row r="469" s="51" customFormat="1" ht="13.5" customHeight="1" x14ac:dyDescent="0.2"/>
    <row r="470" s="51" customFormat="1" ht="13.5" customHeight="1" x14ac:dyDescent="0.2"/>
    <row r="471" s="51" customFormat="1" ht="13.5" customHeight="1" x14ac:dyDescent="0.2"/>
    <row r="472" s="51" customFormat="1" ht="13.5" customHeight="1" x14ac:dyDescent="0.2"/>
    <row r="473" s="51" customFormat="1" ht="13.5" customHeight="1" x14ac:dyDescent="0.2"/>
    <row r="474" s="51" customFormat="1" ht="13.5" customHeight="1" x14ac:dyDescent="0.2"/>
    <row r="475" s="51" customFormat="1" ht="13.5" customHeight="1" x14ac:dyDescent="0.2"/>
    <row r="476" s="51" customFormat="1" ht="13.5" customHeight="1" x14ac:dyDescent="0.2"/>
    <row r="477" s="51" customFormat="1" ht="13.5" customHeight="1" x14ac:dyDescent="0.2"/>
    <row r="478" s="51" customFormat="1" ht="13.5" customHeight="1" x14ac:dyDescent="0.2"/>
    <row r="479" s="51" customFormat="1" ht="13.5" customHeight="1" x14ac:dyDescent="0.2"/>
    <row r="480" s="51" customFormat="1" ht="13.5" customHeight="1" x14ac:dyDescent="0.2"/>
    <row r="481" s="51" customFormat="1" ht="13.5" customHeight="1" x14ac:dyDescent="0.2"/>
    <row r="482" s="51" customFormat="1" ht="13.5" customHeight="1" x14ac:dyDescent="0.2"/>
    <row r="483" s="51" customFormat="1" ht="13.5" customHeight="1" x14ac:dyDescent="0.2"/>
    <row r="484" s="51" customFormat="1" ht="13.5" customHeight="1" x14ac:dyDescent="0.2"/>
    <row r="485" s="51" customFormat="1" ht="13.5" customHeight="1" x14ac:dyDescent="0.2"/>
    <row r="486" s="51" customFormat="1" ht="13.5" customHeight="1" x14ac:dyDescent="0.2"/>
    <row r="487" s="51" customFormat="1" ht="13.5" customHeight="1" x14ac:dyDescent="0.2"/>
    <row r="488" s="51" customFormat="1" ht="13.5" customHeight="1" x14ac:dyDescent="0.2"/>
    <row r="489" s="51" customFormat="1" ht="13.5" customHeight="1" x14ac:dyDescent="0.2"/>
    <row r="490" s="51" customFormat="1" ht="13.5" customHeight="1" x14ac:dyDescent="0.2"/>
    <row r="491" s="51" customFormat="1" ht="13.5" customHeight="1" x14ac:dyDescent="0.2"/>
    <row r="492" s="51" customFormat="1" ht="13.5" customHeight="1" x14ac:dyDescent="0.2"/>
    <row r="493" s="51" customFormat="1" ht="13.5" customHeight="1" x14ac:dyDescent="0.2"/>
    <row r="494" s="51" customFormat="1" ht="13.5" customHeight="1" x14ac:dyDescent="0.2"/>
    <row r="495" s="51" customFormat="1" ht="13.5" customHeight="1" x14ac:dyDescent="0.2"/>
    <row r="496" s="51" customFormat="1" ht="13.5" customHeight="1" x14ac:dyDescent="0.2"/>
    <row r="497" s="51" customFormat="1" ht="13.5" customHeight="1" x14ac:dyDescent="0.2"/>
    <row r="498" s="51" customFormat="1" ht="13.5" customHeight="1" x14ac:dyDescent="0.2"/>
    <row r="499" s="51" customFormat="1" ht="13.5" customHeight="1" x14ac:dyDescent="0.2"/>
    <row r="500" s="51" customFormat="1" ht="13.5" customHeight="1" x14ac:dyDescent="0.2"/>
    <row r="501" s="51" customFormat="1" ht="13.5" customHeight="1" x14ac:dyDescent="0.2"/>
    <row r="502" s="51" customFormat="1" ht="13.5" customHeight="1" x14ac:dyDescent="0.2"/>
    <row r="503" s="51" customFormat="1" ht="13.5" customHeight="1" x14ac:dyDescent="0.2"/>
    <row r="504" s="51" customFormat="1" ht="13.5" customHeight="1" x14ac:dyDescent="0.2"/>
    <row r="505" s="51" customFormat="1" ht="13.5" customHeight="1" x14ac:dyDescent="0.2"/>
    <row r="506" s="51" customFormat="1" ht="13.5" customHeight="1" x14ac:dyDescent="0.2"/>
    <row r="507" s="51" customFormat="1" ht="13.5" customHeight="1" x14ac:dyDescent="0.2"/>
    <row r="508" s="51" customFormat="1" ht="13.5" customHeight="1" x14ac:dyDescent="0.2"/>
    <row r="509" s="51" customFormat="1" ht="13.5" customHeight="1" x14ac:dyDescent="0.2"/>
    <row r="510" s="51" customFormat="1" ht="13.5" customHeight="1" x14ac:dyDescent="0.2"/>
    <row r="511" s="51" customFormat="1" ht="13.5" customHeight="1" x14ac:dyDescent="0.2"/>
    <row r="512" s="51" customFormat="1" ht="13.5" customHeight="1" x14ac:dyDescent="0.2"/>
    <row r="513" s="51" customFormat="1" ht="13.5" customHeight="1" x14ac:dyDescent="0.2"/>
    <row r="514" s="51" customFormat="1" ht="13.5" customHeight="1" x14ac:dyDescent="0.2"/>
    <row r="515" s="51" customFormat="1" ht="13.5" customHeight="1" x14ac:dyDescent="0.2"/>
    <row r="516" s="51" customFormat="1" ht="13.5" customHeight="1" x14ac:dyDescent="0.2"/>
    <row r="517" s="51" customFormat="1" ht="13.5" customHeight="1" x14ac:dyDescent="0.2"/>
    <row r="518" s="51" customFormat="1" ht="13.5" customHeight="1" x14ac:dyDescent="0.2"/>
    <row r="519" s="51" customFormat="1" ht="13.5" customHeight="1" x14ac:dyDescent="0.2"/>
    <row r="520" s="51" customFormat="1" ht="13.5" customHeight="1" x14ac:dyDescent="0.2"/>
    <row r="521" s="51" customFormat="1" ht="13.5" customHeight="1" x14ac:dyDescent="0.2"/>
    <row r="522" s="51" customFormat="1" ht="13.5" customHeight="1" x14ac:dyDescent="0.2"/>
    <row r="523" s="51" customFormat="1" ht="13.5" customHeight="1" x14ac:dyDescent="0.2"/>
    <row r="524" s="51" customFormat="1" ht="13.5" customHeight="1" x14ac:dyDescent="0.2"/>
    <row r="525" s="51" customFormat="1" ht="13.5" customHeight="1" x14ac:dyDescent="0.2"/>
    <row r="526" s="51" customFormat="1" ht="13.5" customHeight="1" x14ac:dyDescent="0.2"/>
    <row r="527" s="51" customFormat="1" ht="13.5" customHeight="1" x14ac:dyDescent="0.2"/>
    <row r="528" s="51" customFormat="1" ht="13.5" customHeight="1" x14ac:dyDescent="0.2"/>
    <row r="529" s="51" customFormat="1" ht="13.5" customHeight="1" x14ac:dyDescent="0.2"/>
    <row r="530" s="51" customFormat="1" ht="13.5" customHeight="1" x14ac:dyDescent="0.2"/>
    <row r="531" s="51" customFormat="1" ht="13.5" customHeight="1" x14ac:dyDescent="0.2"/>
    <row r="532" s="51" customFormat="1" ht="13.5" customHeight="1" x14ac:dyDescent="0.2"/>
    <row r="533" s="51" customFormat="1" ht="13.5" customHeight="1" x14ac:dyDescent="0.2"/>
    <row r="534" s="51" customFormat="1" ht="13.5" customHeight="1" x14ac:dyDescent="0.2"/>
    <row r="535" s="51" customFormat="1" ht="13.5" customHeight="1" x14ac:dyDescent="0.2"/>
    <row r="536" s="51" customFormat="1" ht="13.5" customHeight="1" x14ac:dyDescent="0.2"/>
    <row r="537" s="51" customFormat="1" ht="13.5" customHeight="1" x14ac:dyDescent="0.2"/>
    <row r="538" s="51" customFormat="1" ht="13.5" customHeight="1" x14ac:dyDescent="0.2"/>
    <row r="539" s="51" customFormat="1" ht="13.5" customHeight="1" x14ac:dyDescent="0.2"/>
    <row r="540" s="51" customFormat="1" ht="13.5" customHeight="1" x14ac:dyDescent="0.2"/>
    <row r="541" s="51" customFormat="1" ht="13.5" customHeight="1" x14ac:dyDescent="0.2"/>
    <row r="542" s="51" customFormat="1" ht="13.5" customHeight="1" x14ac:dyDescent="0.2"/>
    <row r="543" s="51" customFormat="1" ht="13.5" customHeight="1" x14ac:dyDescent="0.2"/>
    <row r="544" s="51" customFormat="1" ht="13.5" customHeight="1" x14ac:dyDescent="0.2"/>
    <row r="545" s="51" customFormat="1" ht="13.5" customHeight="1" x14ac:dyDescent="0.2"/>
    <row r="546" s="51" customFormat="1" ht="13.5" customHeight="1" x14ac:dyDescent="0.2"/>
    <row r="547" s="51" customFormat="1" ht="13.5" customHeight="1" x14ac:dyDescent="0.2"/>
    <row r="548" s="51" customFormat="1" ht="13.5" customHeight="1" x14ac:dyDescent="0.2"/>
    <row r="549" s="51" customFormat="1" ht="13.5" customHeight="1" x14ac:dyDescent="0.2"/>
    <row r="550" s="51" customFormat="1" ht="13.5" customHeight="1" x14ac:dyDescent="0.2"/>
    <row r="551" s="51" customFormat="1" ht="13.5" customHeight="1" x14ac:dyDescent="0.2"/>
    <row r="552" s="51" customFormat="1" ht="13.5" customHeight="1" x14ac:dyDescent="0.2"/>
    <row r="553" s="51" customFormat="1" ht="13.5" customHeight="1" x14ac:dyDescent="0.2"/>
    <row r="554" s="51" customFormat="1" ht="13.5" customHeight="1" x14ac:dyDescent="0.2"/>
    <row r="555" s="51" customFormat="1" ht="13.5" customHeight="1" x14ac:dyDescent="0.2"/>
    <row r="556" s="51" customFormat="1" ht="13.5" customHeight="1" x14ac:dyDescent="0.2"/>
    <row r="557" s="51" customFormat="1" ht="13.5" customHeight="1" x14ac:dyDescent="0.2"/>
    <row r="558" s="51" customFormat="1" ht="13.5" customHeight="1" x14ac:dyDescent="0.2"/>
    <row r="559" s="51" customFormat="1" ht="13.5" customHeight="1" x14ac:dyDescent="0.2"/>
    <row r="560" s="51" customFormat="1" ht="13.5" customHeight="1" x14ac:dyDescent="0.2"/>
    <row r="561" s="51" customFormat="1" ht="13.5" customHeight="1" x14ac:dyDescent="0.2"/>
    <row r="562" s="51" customFormat="1" ht="13.5" customHeight="1" x14ac:dyDescent="0.2"/>
    <row r="563" s="51" customFormat="1" ht="13.5" customHeight="1" x14ac:dyDescent="0.2"/>
    <row r="564" s="51" customFormat="1" ht="13.5" customHeight="1" x14ac:dyDescent="0.2"/>
    <row r="565" s="51" customFormat="1" ht="13.5" customHeight="1" x14ac:dyDescent="0.2"/>
    <row r="566" s="51" customFormat="1" ht="13.5" customHeight="1" x14ac:dyDescent="0.2"/>
    <row r="567" s="51" customFormat="1" ht="13.5" customHeight="1" x14ac:dyDescent="0.2"/>
    <row r="568" s="51" customFormat="1" ht="13.5" customHeight="1" x14ac:dyDescent="0.2"/>
    <row r="569" s="51" customFormat="1" ht="13.5" customHeight="1" x14ac:dyDescent="0.2"/>
    <row r="570" s="51" customFormat="1" ht="13.5" customHeight="1" x14ac:dyDescent="0.2"/>
    <row r="571" s="51" customFormat="1" ht="13.5" customHeight="1" x14ac:dyDescent="0.2"/>
    <row r="572" s="51" customFormat="1" ht="13.5" customHeight="1" x14ac:dyDescent="0.2"/>
    <row r="573" s="51" customFormat="1" ht="13.5" customHeight="1" x14ac:dyDescent="0.2"/>
    <row r="574" s="51" customFormat="1" ht="13.5" customHeight="1" x14ac:dyDescent="0.2"/>
    <row r="575" s="51" customFormat="1" ht="13.5" customHeight="1" x14ac:dyDescent="0.2"/>
    <row r="576" s="51" customFormat="1" ht="13.5" customHeight="1" x14ac:dyDescent="0.2"/>
    <row r="577" s="51" customFormat="1" ht="13.5" customHeight="1" x14ac:dyDescent="0.2"/>
    <row r="578" s="51" customFormat="1" ht="13.5" customHeight="1" x14ac:dyDescent="0.2"/>
    <row r="579" s="51" customFormat="1" ht="13.5" customHeight="1" x14ac:dyDescent="0.2"/>
    <row r="580" s="51" customFormat="1" ht="13.5" customHeight="1" x14ac:dyDescent="0.2"/>
    <row r="581" s="51" customFormat="1" ht="13.5" customHeight="1" x14ac:dyDescent="0.2"/>
    <row r="582" s="51" customFormat="1" ht="13.5" customHeight="1" x14ac:dyDescent="0.2"/>
    <row r="583" s="51" customFormat="1" ht="13.5" customHeight="1" x14ac:dyDescent="0.2"/>
    <row r="584" s="51" customFormat="1" ht="13.5" customHeight="1" x14ac:dyDescent="0.2"/>
    <row r="585" s="51" customFormat="1" ht="13.5" customHeight="1" x14ac:dyDescent="0.2"/>
    <row r="586" s="51" customFormat="1" ht="13.5" customHeight="1" x14ac:dyDescent="0.2"/>
    <row r="587" s="51" customFormat="1" ht="13.5" customHeight="1" x14ac:dyDescent="0.2"/>
    <row r="588" s="51" customFormat="1" ht="13.5" customHeight="1" x14ac:dyDescent="0.2"/>
    <row r="589" s="51" customFormat="1" ht="13.5" customHeight="1" x14ac:dyDescent="0.2"/>
    <row r="590" s="51" customFormat="1" ht="13.5" customHeight="1" x14ac:dyDescent="0.2"/>
    <row r="591" s="51" customFormat="1" ht="13.5" customHeight="1" x14ac:dyDescent="0.2"/>
    <row r="592" s="51" customFormat="1" ht="13.5" customHeight="1" x14ac:dyDescent="0.2"/>
    <row r="593" s="51" customFormat="1" ht="13.5" customHeight="1" x14ac:dyDescent="0.2"/>
    <row r="594" s="51" customFormat="1" ht="13.5" customHeight="1" x14ac:dyDescent="0.2"/>
    <row r="595" s="51" customFormat="1" ht="13.5" customHeight="1" x14ac:dyDescent="0.2"/>
    <row r="596" s="51" customFormat="1" ht="13.5" customHeight="1" x14ac:dyDescent="0.2"/>
    <row r="597" s="51" customFormat="1" ht="13.5" customHeight="1" x14ac:dyDescent="0.2"/>
    <row r="598" s="51" customFormat="1" ht="13.5" customHeight="1" x14ac:dyDescent="0.2"/>
    <row r="599" s="51" customFormat="1" ht="13.5" customHeight="1" x14ac:dyDescent="0.2"/>
    <row r="600" s="51" customFormat="1" ht="13.5" customHeight="1" x14ac:dyDescent="0.2"/>
    <row r="601" s="51" customFormat="1" ht="13.5" customHeight="1" x14ac:dyDescent="0.2"/>
    <row r="602" s="51" customFormat="1" ht="13.5" customHeight="1" x14ac:dyDescent="0.2"/>
    <row r="603" s="51" customFormat="1" ht="13.5" customHeight="1" x14ac:dyDescent="0.2"/>
    <row r="604" s="51" customFormat="1" ht="13.5" customHeight="1" x14ac:dyDescent="0.2"/>
    <row r="605" s="51" customFormat="1" ht="13.5" customHeight="1" x14ac:dyDescent="0.2"/>
    <row r="606" s="51" customFormat="1" ht="13.5" customHeight="1" x14ac:dyDescent="0.2"/>
    <row r="607" s="51" customFormat="1" ht="13.5" customHeight="1" x14ac:dyDescent="0.2"/>
    <row r="608" s="51" customFormat="1" ht="13.5" customHeight="1" x14ac:dyDescent="0.2"/>
    <row r="609" s="51" customFormat="1" ht="13.5" customHeight="1" x14ac:dyDescent="0.2"/>
    <row r="610" s="51" customFormat="1" ht="13.5" customHeight="1" x14ac:dyDescent="0.2"/>
    <row r="611" s="51" customFormat="1" ht="13.5" customHeight="1" x14ac:dyDescent="0.2"/>
    <row r="612" s="51" customFormat="1" ht="13.5" customHeight="1" x14ac:dyDescent="0.2"/>
    <row r="613" s="51" customFormat="1" ht="13.5" customHeight="1" x14ac:dyDescent="0.2"/>
    <row r="614" s="51" customFormat="1" ht="13.5" customHeight="1" x14ac:dyDescent="0.2"/>
    <row r="615" s="51" customFormat="1" ht="13.5" customHeight="1" x14ac:dyDescent="0.2"/>
    <row r="616" s="51" customFormat="1" ht="13.5" customHeight="1" x14ac:dyDescent="0.2"/>
    <row r="617" s="51" customFormat="1" ht="13.5" customHeight="1" x14ac:dyDescent="0.2"/>
    <row r="618" s="51" customFormat="1" ht="13.5" customHeight="1" x14ac:dyDescent="0.2"/>
    <row r="619" s="51" customFormat="1" ht="13.5" customHeight="1" x14ac:dyDescent="0.2"/>
    <row r="620" s="51" customFormat="1" ht="13.5" customHeight="1" x14ac:dyDescent="0.2"/>
    <row r="621" s="51" customFormat="1" ht="13.5" customHeight="1" x14ac:dyDescent="0.2"/>
    <row r="622" s="51" customFormat="1" ht="13.5" customHeight="1" x14ac:dyDescent="0.2"/>
    <row r="623" s="51" customFormat="1" ht="13.5" customHeight="1" x14ac:dyDescent="0.2"/>
    <row r="624" s="51" customFormat="1" ht="13.5" customHeight="1" x14ac:dyDescent="0.2"/>
    <row r="625" s="51" customFormat="1" ht="13.5" customHeight="1" x14ac:dyDescent="0.2"/>
    <row r="626" s="51" customFormat="1" ht="13.5" customHeight="1" x14ac:dyDescent="0.2"/>
    <row r="627" s="51" customFormat="1" ht="13.5" customHeight="1" x14ac:dyDescent="0.2"/>
    <row r="628" s="51" customFormat="1" ht="13.5" customHeight="1" x14ac:dyDescent="0.2"/>
    <row r="629" s="51" customFormat="1" ht="13.5" customHeight="1" x14ac:dyDescent="0.2"/>
    <row r="630" s="51" customFormat="1" ht="13.5" customHeight="1" x14ac:dyDescent="0.2"/>
    <row r="631" s="51" customFormat="1" ht="13.5" customHeight="1" x14ac:dyDescent="0.2"/>
    <row r="632" s="51" customFormat="1" ht="13.5" customHeight="1" x14ac:dyDescent="0.2"/>
    <row r="633" s="51" customFormat="1" ht="13.5" customHeight="1" x14ac:dyDescent="0.2"/>
    <row r="634" s="51" customFormat="1" ht="13.5" customHeight="1" x14ac:dyDescent="0.2"/>
    <row r="635" s="51" customFormat="1" ht="13.5" customHeight="1" x14ac:dyDescent="0.2"/>
    <row r="636" s="51" customFormat="1" ht="13.5" customHeight="1" x14ac:dyDescent="0.2"/>
    <row r="637" s="51" customFormat="1" ht="13.5" customHeight="1" x14ac:dyDescent="0.2"/>
    <row r="638" s="51" customFormat="1" ht="13.5" customHeight="1" x14ac:dyDescent="0.2"/>
    <row r="639" s="51" customFormat="1" ht="13.5" customHeight="1" x14ac:dyDescent="0.2"/>
    <row r="640" s="51" customFormat="1" ht="13.5" customHeight="1" x14ac:dyDescent="0.2"/>
    <row r="641" s="51" customFormat="1" ht="13.5" customHeight="1" x14ac:dyDescent="0.2"/>
    <row r="642" s="51" customFormat="1" ht="13.5" customHeight="1" x14ac:dyDescent="0.2"/>
    <row r="643" s="51" customFormat="1" ht="13.5" customHeight="1" x14ac:dyDescent="0.2"/>
    <row r="644" s="51" customFormat="1" ht="13.5" customHeight="1" x14ac:dyDescent="0.2"/>
    <row r="645" s="51" customFormat="1" ht="13.5" customHeight="1" x14ac:dyDescent="0.2"/>
    <row r="646" s="51" customFormat="1" ht="13.5" customHeight="1" x14ac:dyDescent="0.2"/>
    <row r="647" s="51" customFormat="1" ht="13.5" customHeight="1" x14ac:dyDescent="0.2"/>
    <row r="648" s="51" customFormat="1" ht="13.5" customHeight="1" x14ac:dyDescent="0.2"/>
    <row r="649" s="51" customFormat="1" ht="13.5" customHeight="1" x14ac:dyDescent="0.2"/>
    <row r="650" s="51" customFormat="1" ht="13.5" customHeight="1" x14ac:dyDescent="0.2"/>
    <row r="651" s="51" customFormat="1" ht="13.5" customHeight="1" x14ac:dyDescent="0.2"/>
    <row r="652" s="51" customFormat="1" ht="13.5" customHeight="1" x14ac:dyDescent="0.2"/>
    <row r="653" s="51" customFormat="1" ht="13.5" customHeight="1" x14ac:dyDescent="0.2"/>
    <row r="654" s="51" customFormat="1" ht="13.5" customHeight="1" x14ac:dyDescent="0.2"/>
    <row r="655" s="51" customFormat="1" ht="13.5" customHeight="1" x14ac:dyDescent="0.2"/>
    <row r="656" s="51" customFormat="1" ht="13.5" customHeight="1" x14ac:dyDescent="0.2"/>
    <row r="657" s="51" customFormat="1" ht="13.5" customHeight="1" x14ac:dyDescent="0.2"/>
    <row r="658" s="51" customFormat="1" ht="13.5" customHeight="1" x14ac:dyDescent="0.2"/>
    <row r="659" s="51" customFormat="1" ht="13.5" customHeight="1" x14ac:dyDescent="0.2"/>
    <row r="660" s="51" customFormat="1" ht="13.5" customHeight="1" x14ac:dyDescent="0.2"/>
    <row r="661" s="51" customFormat="1" ht="13.5" customHeight="1" x14ac:dyDescent="0.2"/>
    <row r="662" s="51" customFormat="1" ht="13.5" customHeight="1" x14ac:dyDescent="0.2"/>
    <row r="663" s="51" customFormat="1" ht="13.5" customHeight="1" x14ac:dyDescent="0.2"/>
    <row r="664" s="51" customFormat="1" ht="13.5" customHeight="1" x14ac:dyDescent="0.2"/>
    <row r="665" s="51" customFormat="1" ht="13.5" customHeight="1" x14ac:dyDescent="0.2"/>
    <row r="666" s="51" customFormat="1" ht="13.5" customHeight="1" x14ac:dyDescent="0.2"/>
    <row r="667" s="51" customFormat="1" ht="13.5" customHeight="1" x14ac:dyDescent="0.2"/>
    <row r="668" s="51" customFormat="1" ht="13.5" customHeight="1" x14ac:dyDescent="0.2"/>
    <row r="669" s="51" customFormat="1" ht="13.5" customHeight="1" x14ac:dyDescent="0.2"/>
    <row r="670" s="51" customFormat="1" ht="13.5" customHeight="1" x14ac:dyDescent="0.2"/>
    <row r="671" s="51" customFormat="1" ht="13.5" customHeight="1" x14ac:dyDescent="0.2"/>
    <row r="672" s="51" customFormat="1" ht="13.5" customHeight="1" x14ac:dyDescent="0.2"/>
    <row r="673" s="51" customFormat="1" ht="13.5" customHeight="1" x14ac:dyDescent="0.2"/>
    <row r="674" s="51" customFormat="1" ht="13.5" customHeight="1" x14ac:dyDescent="0.2"/>
    <row r="675" s="51" customFormat="1" ht="13.5" customHeight="1" x14ac:dyDescent="0.2"/>
    <row r="676" s="51" customFormat="1" ht="13.5" customHeight="1" x14ac:dyDescent="0.2"/>
    <row r="677" s="51" customFormat="1" ht="13.5" customHeight="1" x14ac:dyDescent="0.2"/>
    <row r="678" s="51" customFormat="1" ht="13.5" customHeight="1" x14ac:dyDescent="0.2"/>
    <row r="679" s="51" customFormat="1" ht="13.5" customHeight="1" x14ac:dyDescent="0.2"/>
    <row r="680" s="51" customFormat="1" ht="13.5" customHeight="1" x14ac:dyDescent="0.2"/>
    <row r="681" s="51" customFormat="1" ht="13.5" customHeight="1" x14ac:dyDescent="0.2"/>
    <row r="682" s="51" customFormat="1" ht="13.5" customHeight="1" x14ac:dyDescent="0.2"/>
    <row r="683" s="51" customFormat="1" ht="13.5" customHeight="1" x14ac:dyDescent="0.2"/>
    <row r="684" s="51" customFormat="1" ht="13.5" customHeight="1" x14ac:dyDescent="0.2"/>
    <row r="685" s="51" customFormat="1" ht="13.5" customHeight="1" x14ac:dyDescent="0.2"/>
    <row r="686" s="51" customFormat="1" ht="13.5" customHeight="1" x14ac:dyDescent="0.2"/>
    <row r="687" s="51" customFormat="1" ht="13.5" customHeight="1" x14ac:dyDescent="0.2"/>
    <row r="688" s="51" customFormat="1" ht="13.5" customHeight="1" x14ac:dyDescent="0.2"/>
    <row r="689" s="51" customFormat="1" ht="13.5" customHeight="1" x14ac:dyDescent="0.2"/>
    <row r="690" s="51" customFormat="1" ht="13.5" customHeight="1" x14ac:dyDescent="0.2"/>
    <row r="691" s="51" customFormat="1" ht="13.5" customHeight="1" x14ac:dyDescent="0.2"/>
    <row r="692" s="51" customFormat="1" ht="13.5" customHeight="1" x14ac:dyDescent="0.2"/>
    <row r="693" s="51" customFormat="1" ht="13.5" customHeight="1" x14ac:dyDescent="0.2"/>
    <row r="694" s="51" customFormat="1" ht="13.5" customHeight="1" x14ac:dyDescent="0.2"/>
    <row r="695" s="51" customFormat="1" ht="13.5" customHeight="1" x14ac:dyDescent="0.2"/>
    <row r="696" s="51" customFormat="1" ht="13.5" customHeight="1" x14ac:dyDescent="0.2"/>
    <row r="697" s="51" customFormat="1" ht="13.5" customHeight="1" x14ac:dyDescent="0.2"/>
    <row r="698" s="51" customFormat="1" ht="13.5" customHeight="1" x14ac:dyDescent="0.2"/>
    <row r="699" s="51" customFormat="1" ht="13.5" customHeight="1" x14ac:dyDescent="0.2"/>
    <row r="700" s="51" customFormat="1" ht="13.5" customHeight="1" x14ac:dyDescent="0.2"/>
    <row r="701" s="51" customFormat="1" ht="13.5" customHeight="1" x14ac:dyDescent="0.2"/>
    <row r="702" s="51" customFormat="1" ht="13.5" customHeight="1" x14ac:dyDescent="0.2"/>
    <row r="703" s="51" customFormat="1" ht="13.5" customHeight="1" x14ac:dyDescent="0.2"/>
    <row r="704" s="51" customFormat="1" ht="13.5" customHeight="1" x14ac:dyDescent="0.2"/>
    <row r="705" s="51" customFormat="1" ht="13.5" customHeight="1" x14ac:dyDescent="0.2"/>
    <row r="706" s="51" customFormat="1" ht="13.5" customHeight="1" x14ac:dyDescent="0.2"/>
    <row r="707" s="51" customFormat="1" ht="13.5" customHeight="1" x14ac:dyDescent="0.2"/>
    <row r="708" s="51" customFormat="1" ht="13.5" customHeight="1" x14ac:dyDescent="0.2"/>
    <row r="709" s="51" customFormat="1" ht="13.5" customHeight="1" x14ac:dyDescent="0.2"/>
    <row r="710" s="51" customFormat="1" ht="13.5" customHeight="1" x14ac:dyDescent="0.2"/>
    <row r="711" s="51" customFormat="1" ht="13.5" customHeight="1" x14ac:dyDescent="0.2"/>
    <row r="712" s="51" customFormat="1" ht="13.5" customHeight="1" x14ac:dyDescent="0.2"/>
    <row r="713" s="51" customFormat="1" ht="13.5" customHeight="1" x14ac:dyDescent="0.2"/>
    <row r="714" s="51" customFormat="1" ht="13.5" customHeight="1" x14ac:dyDescent="0.2"/>
    <row r="715" s="51" customFormat="1" ht="13.5" customHeight="1" x14ac:dyDescent="0.2"/>
    <row r="716" s="51" customFormat="1" ht="13.5" customHeight="1" x14ac:dyDescent="0.2"/>
    <row r="717" s="51" customFormat="1" ht="13.5" customHeight="1" x14ac:dyDescent="0.2"/>
    <row r="718" s="51" customFormat="1" ht="13.5" customHeight="1" x14ac:dyDescent="0.2"/>
    <row r="719" s="51" customFormat="1" ht="13.5" customHeight="1" x14ac:dyDescent="0.2"/>
    <row r="720" s="51" customFormat="1" ht="13.5" customHeight="1" x14ac:dyDescent="0.2"/>
    <row r="721" s="51" customFormat="1" ht="13.5" customHeight="1" x14ac:dyDescent="0.2"/>
    <row r="722" s="51" customFormat="1" ht="13.5" customHeight="1" x14ac:dyDescent="0.2"/>
    <row r="723" s="51" customFormat="1" ht="13.5" customHeight="1" x14ac:dyDescent="0.2"/>
    <row r="724" s="51" customFormat="1" ht="13.5" customHeight="1" x14ac:dyDescent="0.2"/>
    <row r="725" s="51" customFormat="1" ht="13.5" customHeight="1" x14ac:dyDescent="0.2"/>
    <row r="726" s="51" customFormat="1" ht="13.5" customHeight="1" x14ac:dyDescent="0.2"/>
    <row r="727" s="51" customFormat="1" ht="13.5" customHeight="1" x14ac:dyDescent="0.2"/>
    <row r="728" s="51" customFormat="1" ht="13.5" customHeight="1" x14ac:dyDescent="0.2"/>
    <row r="729" s="51" customFormat="1" ht="13.5" customHeight="1" x14ac:dyDescent="0.2"/>
    <row r="730" s="51" customFormat="1" ht="13.5" customHeight="1" x14ac:dyDescent="0.2"/>
    <row r="731" s="51" customFormat="1" ht="13.5" customHeight="1" x14ac:dyDescent="0.2"/>
    <row r="732" s="51" customFormat="1" ht="13.5" customHeight="1" x14ac:dyDescent="0.2"/>
    <row r="733" s="51" customFormat="1" ht="13.5" customHeight="1" x14ac:dyDescent="0.2"/>
    <row r="734" s="51" customFormat="1" ht="13.5" customHeight="1" x14ac:dyDescent="0.2"/>
    <row r="735" s="51" customFormat="1" ht="13.5" customHeight="1" x14ac:dyDescent="0.2"/>
    <row r="736" s="51" customFormat="1" ht="13.5" customHeight="1" x14ac:dyDescent="0.2"/>
    <row r="737" s="51" customFormat="1" ht="13.5" customHeight="1" x14ac:dyDescent="0.2"/>
    <row r="738" s="51" customFormat="1" ht="13.5" customHeight="1" x14ac:dyDescent="0.2"/>
    <row r="739" s="51" customFormat="1" ht="13.5" customHeight="1" x14ac:dyDescent="0.2"/>
    <row r="740" s="51" customFormat="1" ht="13.5" customHeight="1" x14ac:dyDescent="0.2"/>
    <row r="741" s="51" customFormat="1" ht="13.5" customHeight="1" x14ac:dyDescent="0.2"/>
    <row r="742" s="51" customFormat="1" ht="13.5" customHeight="1" x14ac:dyDescent="0.2"/>
    <row r="743" s="51" customFormat="1" ht="13.5" customHeight="1" x14ac:dyDescent="0.2"/>
    <row r="744" s="51" customFormat="1" ht="13.5" customHeight="1" x14ac:dyDescent="0.2"/>
    <row r="745" s="51" customFormat="1" ht="13.5" customHeight="1" x14ac:dyDescent="0.2"/>
    <row r="746" s="51" customFormat="1" ht="13.5" customHeight="1" x14ac:dyDescent="0.2"/>
    <row r="747" s="51" customFormat="1" ht="13.5" customHeight="1" x14ac:dyDescent="0.2"/>
    <row r="748" s="51" customFormat="1" ht="13.5" customHeight="1" x14ac:dyDescent="0.2"/>
    <row r="749" s="51" customFormat="1" ht="13.5" customHeight="1" x14ac:dyDescent="0.2"/>
    <row r="750" s="51" customFormat="1" ht="13.5" customHeight="1" x14ac:dyDescent="0.2"/>
    <row r="751" s="51" customFormat="1" ht="13.5" customHeight="1" x14ac:dyDescent="0.2"/>
    <row r="752" s="51" customFormat="1" ht="13.5" customHeight="1" x14ac:dyDescent="0.2"/>
    <row r="753" s="51" customFormat="1" ht="13.5" customHeight="1" x14ac:dyDescent="0.2"/>
    <row r="754" s="51" customFormat="1" ht="13.5" customHeight="1" x14ac:dyDescent="0.2"/>
    <row r="755" s="51" customFormat="1" ht="13.5" customHeight="1" x14ac:dyDescent="0.2"/>
    <row r="756" s="51" customFormat="1" ht="13.5" customHeight="1" x14ac:dyDescent="0.2"/>
    <row r="757" s="51" customFormat="1" ht="13.5" customHeight="1" x14ac:dyDescent="0.2"/>
    <row r="758" s="51" customFormat="1" ht="13.5" customHeight="1" x14ac:dyDescent="0.2"/>
    <row r="759" s="51" customFormat="1" ht="13.5" customHeight="1" x14ac:dyDescent="0.2"/>
    <row r="760" s="51" customFormat="1" ht="13.5" customHeight="1" x14ac:dyDescent="0.2"/>
    <row r="761" s="51" customFormat="1" ht="13.5" customHeight="1" x14ac:dyDescent="0.2"/>
    <row r="762" s="51" customFormat="1" ht="13.5" customHeight="1" x14ac:dyDescent="0.2"/>
    <row r="763" s="51" customFormat="1" ht="13.5" customHeight="1" x14ac:dyDescent="0.2"/>
    <row r="764" s="51" customFormat="1" ht="13.5" customHeight="1" x14ac:dyDescent="0.2"/>
    <row r="765" s="51" customFormat="1" ht="13.5" customHeight="1" x14ac:dyDescent="0.2"/>
    <row r="766" s="51" customFormat="1" ht="13.5" customHeight="1" x14ac:dyDescent="0.2"/>
    <row r="767" s="51" customFormat="1" ht="13.5" customHeight="1" x14ac:dyDescent="0.2"/>
    <row r="768" s="51" customFormat="1" ht="13.5" customHeight="1" x14ac:dyDescent="0.2"/>
    <row r="769" s="51" customFormat="1" ht="13.5" customHeight="1" x14ac:dyDescent="0.2"/>
    <row r="770" s="51" customFormat="1" ht="13.5" customHeight="1" x14ac:dyDescent="0.2"/>
    <row r="771" s="51" customFormat="1" ht="13.5" customHeight="1" x14ac:dyDescent="0.2"/>
    <row r="772" s="51" customFormat="1" ht="13.5" customHeight="1" x14ac:dyDescent="0.2"/>
    <row r="773" s="51" customFormat="1" ht="13.5" customHeight="1" x14ac:dyDescent="0.2"/>
    <row r="774" s="51" customFormat="1" ht="13.5" customHeight="1" x14ac:dyDescent="0.2"/>
    <row r="775" s="51" customFormat="1" ht="13.5" customHeight="1" x14ac:dyDescent="0.2"/>
    <row r="776" s="51" customFormat="1" ht="13.5" customHeight="1" x14ac:dyDescent="0.2"/>
    <row r="777" s="51" customFormat="1" ht="13.5" customHeight="1" x14ac:dyDescent="0.2"/>
    <row r="778" s="51" customFormat="1" ht="13.5" customHeight="1" x14ac:dyDescent="0.2"/>
    <row r="779" s="51" customFormat="1" ht="13.5" customHeight="1" x14ac:dyDescent="0.2"/>
    <row r="780" s="51" customFormat="1" ht="13.5" customHeight="1" x14ac:dyDescent="0.2"/>
    <row r="781" s="51" customFormat="1" ht="13.5" customHeight="1" x14ac:dyDescent="0.2"/>
    <row r="782" s="51" customFormat="1" ht="13.5" customHeight="1" x14ac:dyDescent="0.2"/>
    <row r="783" s="51" customFormat="1" ht="13.5" customHeight="1" x14ac:dyDescent="0.2"/>
    <row r="784" s="51" customFormat="1" ht="13.5" customHeight="1" x14ac:dyDescent="0.2"/>
    <row r="785" s="51" customFormat="1" ht="13.5" customHeight="1" x14ac:dyDescent="0.2"/>
    <row r="786" s="51" customFormat="1" ht="13.5" customHeight="1" x14ac:dyDescent="0.2"/>
    <row r="787" s="51" customFormat="1" ht="13.5" customHeight="1" x14ac:dyDescent="0.2"/>
    <row r="788" s="51" customFormat="1" ht="13.5" customHeight="1" x14ac:dyDescent="0.2"/>
    <row r="789" s="51" customFormat="1" ht="13.5" customHeight="1" x14ac:dyDescent="0.2"/>
    <row r="790" s="51" customFormat="1" ht="13.5" customHeight="1" x14ac:dyDescent="0.2"/>
    <row r="791" s="51" customFormat="1" ht="13.5" customHeight="1" x14ac:dyDescent="0.2"/>
    <row r="792" s="51" customFormat="1" ht="13.5" customHeight="1" x14ac:dyDescent="0.2"/>
    <row r="793" s="51" customFormat="1" ht="13.5" customHeight="1" x14ac:dyDescent="0.2"/>
    <row r="794" s="51" customFormat="1" ht="13.5" customHeight="1" x14ac:dyDescent="0.2"/>
    <row r="795" s="51" customFormat="1" ht="13.5" customHeight="1" x14ac:dyDescent="0.2"/>
    <row r="796" s="51" customFormat="1" ht="13.5" customHeight="1" x14ac:dyDescent="0.2"/>
    <row r="797" s="51" customFormat="1" ht="13.5" customHeight="1" x14ac:dyDescent="0.2"/>
    <row r="798" s="51" customFormat="1" ht="13.5" customHeight="1" x14ac:dyDescent="0.2"/>
    <row r="799" s="51" customFormat="1" ht="13.5" customHeight="1" x14ac:dyDescent="0.2"/>
    <row r="800" s="51" customFormat="1" ht="13.5" customHeight="1" x14ac:dyDescent="0.2"/>
    <row r="801" s="51" customFormat="1" ht="13.5" customHeight="1" x14ac:dyDescent="0.2"/>
    <row r="802" s="51" customFormat="1" ht="13.5" customHeight="1" x14ac:dyDescent="0.2"/>
    <row r="803" s="51" customFormat="1" ht="13.5" customHeight="1" x14ac:dyDescent="0.2"/>
    <row r="804" s="51" customFormat="1" ht="13.5" customHeight="1" x14ac:dyDescent="0.2"/>
    <row r="805" s="51" customFormat="1" ht="13.5" customHeight="1" x14ac:dyDescent="0.2"/>
    <row r="806" s="51" customFormat="1" ht="13.5" customHeight="1" x14ac:dyDescent="0.2"/>
    <row r="807" s="51" customFormat="1" ht="13.5" customHeight="1" x14ac:dyDescent="0.2"/>
    <row r="808" s="51" customFormat="1" ht="13.5" customHeight="1" x14ac:dyDescent="0.2"/>
    <row r="809" s="51" customFormat="1" ht="13.5" customHeight="1" x14ac:dyDescent="0.2"/>
    <row r="810" s="51" customFormat="1" ht="13.5" customHeight="1" x14ac:dyDescent="0.2"/>
    <row r="811" s="51" customFormat="1" ht="13.5" customHeight="1" x14ac:dyDescent="0.2"/>
    <row r="812" s="51" customFormat="1" ht="13.5" customHeight="1" x14ac:dyDescent="0.2"/>
    <row r="813" s="51" customFormat="1" ht="13.5" customHeight="1" x14ac:dyDescent="0.2"/>
    <row r="814" s="51" customFormat="1" ht="13.5" customHeight="1" x14ac:dyDescent="0.2"/>
    <row r="815" s="51" customFormat="1" ht="13.5" customHeight="1" x14ac:dyDescent="0.2"/>
    <row r="816" s="51" customFormat="1" ht="13.5" customHeight="1" x14ac:dyDescent="0.2"/>
    <row r="817" s="51" customFormat="1" ht="13.5" customHeight="1" x14ac:dyDescent="0.2"/>
    <row r="818" s="51" customFormat="1" ht="13.5" customHeight="1" x14ac:dyDescent="0.2"/>
    <row r="819" s="51" customFormat="1" ht="13.5" customHeight="1" x14ac:dyDescent="0.2"/>
    <row r="820" s="51" customFormat="1" ht="13.5" customHeight="1" x14ac:dyDescent="0.2"/>
    <row r="821" s="51" customFormat="1" ht="13.5" customHeight="1" x14ac:dyDescent="0.2"/>
    <row r="822" s="51" customFormat="1" ht="13.5" customHeight="1" x14ac:dyDescent="0.2"/>
    <row r="823" s="51" customFormat="1" ht="13.5" customHeight="1" x14ac:dyDescent="0.2"/>
    <row r="824" s="51" customFormat="1" ht="13.5" customHeight="1" x14ac:dyDescent="0.2"/>
    <row r="825" s="51" customFormat="1" ht="13.5" customHeight="1" x14ac:dyDescent="0.2"/>
    <row r="826" s="51" customFormat="1" ht="13.5" customHeight="1" x14ac:dyDescent="0.2"/>
    <row r="827" s="51" customFormat="1" ht="13.5" customHeight="1" x14ac:dyDescent="0.2"/>
    <row r="828" s="51" customFormat="1" ht="13.5" customHeight="1" x14ac:dyDescent="0.2"/>
    <row r="829" s="51" customFormat="1" ht="13.5" customHeight="1" x14ac:dyDescent="0.2"/>
    <row r="830" s="51" customFormat="1" ht="13.5" customHeight="1" x14ac:dyDescent="0.2"/>
    <row r="831" s="51" customFormat="1" ht="13.5" customHeight="1" x14ac:dyDescent="0.2"/>
    <row r="832" s="51" customFormat="1" ht="13.5" customHeight="1" x14ac:dyDescent="0.2"/>
    <row r="833" s="51" customFormat="1" ht="13.5" customHeight="1" x14ac:dyDescent="0.2"/>
    <row r="834" s="51" customFormat="1" ht="13.5" customHeight="1" x14ac:dyDescent="0.2"/>
    <row r="835" s="51" customFormat="1" ht="13.5" customHeight="1" x14ac:dyDescent="0.2"/>
    <row r="836" s="51" customFormat="1" ht="13.5" customHeight="1" x14ac:dyDescent="0.2"/>
    <row r="837" s="51" customFormat="1" ht="13.5" customHeight="1" x14ac:dyDescent="0.2"/>
    <row r="838" s="51" customFormat="1" ht="13.5" customHeight="1" x14ac:dyDescent="0.2"/>
    <row r="839" s="51" customFormat="1" ht="13.5" customHeight="1" x14ac:dyDescent="0.2"/>
    <row r="840" s="51" customFormat="1" ht="13.5" customHeight="1" x14ac:dyDescent="0.2"/>
    <row r="841" s="51" customFormat="1" ht="13.5" customHeight="1" x14ac:dyDescent="0.2"/>
    <row r="842" s="51" customFormat="1" ht="13.5" customHeight="1" x14ac:dyDescent="0.2"/>
    <row r="843" s="51" customFormat="1" ht="13.5" customHeight="1" x14ac:dyDescent="0.2"/>
    <row r="844" s="51" customFormat="1" ht="13.5" customHeight="1" x14ac:dyDescent="0.2"/>
    <row r="845" s="51" customFormat="1" ht="13.5" customHeight="1" x14ac:dyDescent="0.2"/>
    <row r="846" s="51" customFormat="1" ht="13.5" customHeight="1" x14ac:dyDescent="0.2"/>
    <row r="847" s="51" customFormat="1" ht="13.5" customHeight="1" x14ac:dyDescent="0.2"/>
    <row r="848" s="51" customFormat="1" ht="13.5" customHeight="1" x14ac:dyDescent="0.2"/>
    <row r="849" s="51" customFormat="1" ht="13.5" customHeight="1" x14ac:dyDescent="0.2"/>
    <row r="850" s="51" customFormat="1" ht="13.5" customHeight="1" x14ac:dyDescent="0.2"/>
    <row r="851" s="51" customFormat="1" ht="13.5" customHeight="1" x14ac:dyDescent="0.2"/>
    <row r="852" s="51" customFormat="1" ht="13.5" customHeight="1" x14ac:dyDescent="0.2"/>
    <row r="853" s="51" customFormat="1" ht="13.5" customHeight="1" x14ac:dyDescent="0.2"/>
    <row r="854" s="51" customFormat="1" ht="13.5" customHeight="1" x14ac:dyDescent="0.2"/>
    <row r="855" s="51" customFormat="1" ht="13.5" customHeight="1" x14ac:dyDescent="0.2"/>
    <row r="856" s="51" customFormat="1" ht="13.5" customHeight="1" x14ac:dyDescent="0.2"/>
    <row r="857" s="51" customFormat="1" ht="13.5" customHeight="1" x14ac:dyDescent="0.2"/>
    <row r="858" s="51" customFormat="1" ht="13.5" customHeight="1" x14ac:dyDescent="0.2"/>
    <row r="859" s="51" customFormat="1" ht="13.5" customHeight="1" x14ac:dyDescent="0.2"/>
    <row r="860" s="51" customFormat="1" ht="13.5" customHeight="1" x14ac:dyDescent="0.2"/>
    <row r="861" s="51" customFormat="1" ht="13.5" customHeight="1" x14ac:dyDescent="0.2"/>
    <row r="862" s="51" customFormat="1" ht="13.5" customHeight="1" x14ac:dyDescent="0.2"/>
    <row r="863" s="51" customFormat="1" ht="13.5" customHeight="1" x14ac:dyDescent="0.2"/>
    <row r="864" s="51" customFormat="1" ht="13.5" customHeight="1" x14ac:dyDescent="0.2"/>
    <row r="865" s="51" customFormat="1" ht="13.5" customHeight="1" x14ac:dyDescent="0.2"/>
    <row r="866" s="51" customFormat="1" ht="13.5" customHeight="1" x14ac:dyDescent="0.2"/>
    <row r="867" s="51" customFormat="1" ht="13.5" customHeight="1" x14ac:dyDescent="0.2"/>
    <row r="868" s="51" customFormat="1" ht="13.5" customHeight="1" x14ac:dyDescent="0.2"/>
    <row r="869" s="51" customFormat="1" ht="13.5" customHeight="1" x14ac:dyDescent="0.2"/>
    <row r="870" s="51" customFormat="1" ht="13.5" customHeight="1" x14ac:dyDescent="0.2"/>
    <row r="871" s="51" customFormat="1" ht="13.5" customHeight="1" x14ac:dyDescent="0.2"/>
    <row r="872" s="51" customFormat="1" ht="13.5" customHeight="1" x14ac:dyDescent="0.2"/>
    <row r="873" s="51" customFormat="1" ht="13.5" customHeight="1" x14ac:dyDescent="0.2"/>
    <row r="874" s="51" customFormat="1" ht="13.5" customHeight="1" x14ac:dyDescent="0.2"/>
    <row r="875" s="51" customFormat="1" ht="13.5" customHeight="1" x14ac:dyDescent="0.2"/>
    <row r="876" s="51" customFormat="1" ht="13.5" customHeight="1" x14ac:dyDescent="0.2"/>
    <row r="877" s="51" customFormat="1" ht="13.5" customHeight="1" x14ac:dyDescent="0.2"/>
    <row r="878" s="51" customFormat="1" ht="13.5" customHeight="1" x14ac:dyDescent="0.2"/>
    <row r="879" s="51" customFormat="1" ht="13.5" customHeight="1" x14ac:dyDescent="0.2"/>
    <row r="880" s="51" customFormat="1" ht="13.5" customHeight="1" x14ac:dyDescent="0.2"/>
    <row r="881" s="51" customFormat="1" ht="13.5" customHeight="1" x14ac:dyDescent="0.2"/>
    <row r="882" s="51" customFormat="1" ht="13.5" customHeight="1" x14ac:dyDescent="0.2"/>
    <row r="883" s="51" customFormat="1" ht="13.5" customHeight="1" x14ac:dyDescent="0.2"/>
    <row r="884" s="51" customFormat="1" ht="13.5" customHeight="1" x14ac:dyDescent="0.2"/>
    <row r="885" s="51" customFormat="1" ht="13.5" customHeight="1" x14ac:dyDescent="0.2"/>
    <row r="886" s="51" customFormat="1" ht="13.5" customHeight="1" x14ac:dyDescent="0.2"/>
    <row r="887" s="51" customFormat="1" ht="13.5" customHeight="1" x14ac:dyDescent="0.2"/>
    <row r="888" s="51" customFormat="1" ht="13.5" customHeight="1" x14ac:dyDescent="0.2"/>
    <row r="889" s="51" customFormat="1" ht="13.5" customHeight="1" x14ac:dyDescent="0.2"/>
    <row r="890" s="51" customFormat="1" ht="13.5" customHeight="1" x14ac:dyDescent="0.2"/>
    <row r="891" s="51" customFormat="1" ht="13.5" customHeight="1" x14ac:dyDescent="0.2"/>
    <row r="892" s="51" customFormat="1" ht="13.5" customHeight="1" x14ac:dyDescent="0.2"/>
    <row r="893" s="51" customFormat="1" ht="13.5" customHeight="1" x14ac:dyDescent="0.2"/>
    <row r="894" s="51" customFormat="1" ht="13.5" customHeight="1" x14ac:dyDescent="0.2"/>
    <row r="895" s="51" customFormat="1" ht="13.5" customHeight="1" x14ac:dyDescent="0.2"/>
    <row r="896" s="51" customFormat="1" ht="13.5" customHeight="1" x14ac:dyDescent="0.2"/>
    <row r="897" s="51" customFormat="1" ht="13.5" customHeight="1" x14ac:dyDescent="0.2"/>
    <row r="898" s="51" customFormat="1" ht="13.5" customHeight="1" x14ac:dyDescent="0.2"/>
    <row r="899" s="51" customFormat="1" ht="13.5" customHeight="1" x14ac:dyDescent="0.2"/>
    <row r="900" s="51" customFormat="1" ht="13.5" customHeight="1" x14ac:dyDescent="0.2"/>
    <row r="901" s="51" customFormat="1" ht="13.5" customHeight="1" x14ac:dyDescent="0.2"/>
    <row r="902" s="51" customFormat="1" ht="13.5" customHeight="1" x14ac:dyDescent="0.2"/>
    <row r="903" s="51" customFormat="1" ht="13.5" customHeight="1" x14ac:dyDescent="0.2"/>
    <row r="904" s="51" customFormat="1" ht="13.5" customHeight="1" x14ac:dyDescent="0.2"/>
    <row r="905" s="51" customFormat="1" ht="13.5" customHeight="1" x14ac:dyDescent="0.2"/>
    <row r="906" s="51" customFormat="1" ht="13.5" customHeight="1" x14ac:dyDescent="0.2"/>
    <row r="907" s="51" customFormat="1" ht="13.5" customHeight="1" x14ac:dyDescent="0.2"/>
    <row r="908" s="51" customFormat="1" ht="13.5" customHeight="1" x14ac:dyDescent="0.2"/>
    <row r="909" s="51" customFormat="1" ht="13.5" customHeight="1" x14ac:dyDescent="0.2"/>
    <row r="910" s="51" customFormat="1" ht="13.5" customHeight="1" x14ac:dyDescent="0.2"/>
    <row r="911" s="51" customFormat="1" ht="13.5" customHeight="1" x14ac:dyDescent="0.2"/>
    <row r="912" s="51" customFormat="1" ht="13.5" customHeight="1" x14ac:dyDescent="0.2"/>
    <row r="913" s="51" customFormat="1" ht="13.5" customHeight="1" x14ac:dyDescent="0.2"/>
    <row r="914" s="51" customFormat="1" ht="13.5" customHeight="1" x14ac:dyDescent="0.2"/>
    <row r="915" s="51" customFormat="1" ht="13.5" customHeight="1" x14ac:dyDescent="0.2"/>
    <row r="916" s="51" customFormat="1" ht="13.5" customHeight="1" x14ac:dyDescent="0.2"/>
    <row r="917" s="51" customFormat="1" ht="13.5" customHeight="1" x14ac:dyDescent="0.2"/>
    <row r="918" s="51" customFormat="1" ht="13.5" customHeight="1" x14ac:dyDescent="0.2"/>
    <row r="919" s="51" customFormat="1" ht="13.5" customHeight="1" x14ac:dyDescent="0.2"/>
    <row r="920" s="51" customFormat="1" ht="13.5" customHeight="1" x14ac:dyDescent="0.2"/>
    <row r="921" s="51" customFormat="1" ht="13.5" customHeight="1" x14ac:dyDescent="0.2"/>
    <row r="922" s="51" customFormat="1" ht="13.5" customHeight="1" x14ac:dyDescent="0.2"/>
    <row r="923" s="51" customFormat="1" ht="13.5" customHeight="1" x14ac:dyDescent="0.2"/>
    <row r="924" s="51" customFormat="1" ht="13.5" customHeight="1" x14ac:dyDescent="0.2"/>
    <row r="925" s="51" customFormat="1" ht="13.5" customHeight="1" x14ac:dyDescent="0.2"/>
    <row r="926" s="51" customFormat="1" ht="13.5" customHeight="1" x14ac:dyDescent="0.2"/>
    <row r="927" s="51" customFormat="1" ht="13.5" customHeight="1" x14ac:dyDescent="0.2"/>
    <row r="928" s="51" customFormat="1" ht="13.5" customHeight="1" x14ac:dyDescent="0.2"/>
    <row r="929" s="51" customFormat="1" ht="13.5" customHeight="1" x14ac:dyDescent="0.2"/>
    <row r="930" s="51" customFormat="1" ht="13.5" customHeight="1" x14ac:dyDescent="0.2"/>
    <row r="931" s="51" customFormat="1" ht="13.5" customHeight="1" x14ac:dyDescent="0.2"/>
    <row r="932" s="51" customFormat="1" ht="13.5" customHeight="1" x14ac:dyDescent="0.2"/>
    <row r="933" s="51" customFormat="1" ht="13.5" customHeight="1" x14ac:dyDescent="0.2"/>
    <row r="934" s="51" customFormat="1" ht="13.5" customHeight="1" x14ac:dyDescent="0.2"/>
    <row r="935" s="51" customFormat="1" ht="13.5" customHeight="1" x14ac:dyDescent="0.2"/>
    <row r="936" s="51" customFormat="1" ht="13.5" customHeight="1" x14ac:dyDescent="0.2"/>
    <row r="937" s="51" customFormat="1" ht="13.5" customHeight="1" x14ac:dyDescent="0.2"/>
    <row r="938" s="51" customFormat="1" ht="13.5" customHeight="1" x14ac:dyDescent="0.2"/>
    <row r="939" s="51" customFormat="1" ht="13.5" customHeight="1" x14ac:dyDescent="0.2"/>
    <row r="940" s="51" customFormat="1" ht="13.5" customHeight="1" x14ac:dyDescent="0.2"/>
    <row r="941" s="51" customFormat="1" ht="13.5" customHeight="1" x14ac:dyDescent="0.2"/>
    <row r="942" s="51" customFormat="1" ht="13.5" customHeight="1" x14ac:dyDescent="0.2"/>
    <row r="943" s="51" customFormat="1" ht="13.5" customHeight="1" x14ac:dyDescent="0.2"/>
    <row r="944" s="51" customFormat="1" ht="13.5" customHeight="1" x14ac:dyDescent="0.2"/>
    <row r="945" s="51" customFormat="1" ht="13.5" customHeight="1" x14ac:dyDescent="0.2"/>
    <row r="946" s="51" customFormat="1" ht="13.5" customHeight="1" x14ac:dyDescent="0.2"/>
    <row r="947" s="51" customFormat="1" ht="13.5" customHeight="1" x14ac:dyDescent="0.2"/>
    <row r="948" s="51" customFormat="1" ht="13.5" customHeight="1" x14ac:dyDescent="0.2"/>
    <row r="949" s="51" customFormat="1" ht="13.5" customHeight="1" x14ac:dyDescent="0.2"/>
    <row r="950" s="51" customFormat="1" ht="13.5" customHeight="1" x14ac:dyDescent="0.2"/>
    <row r="951" s="51" customFormat="1" ht="13.5" customHeight="1" x14ac:dyDescent="0.2"/>
    <row r="952" s="51" customFormat="1" ht="13.5" customHeight="1" x14ac:dyDescent="0.2"/>
    <row r="953" s="51" customFormat="1" ht="13.5" customHeight="1" x14ac:dyDescent="0.2"/>
    <row r="954" s="51" customFormat="1" ht="13.5" customHeight="1" x14ac:dyDescent="0.2"/>
    <row r="955" s="51" customFormat="1" ht="13.5" customHeight="1" x14ac:dyDescent="0.2"/>
    <row r="956" s="51" customFormat="1" ht="13.5" customHeight="1" x14ac:dyDescent="0.2"/>
    <row r="957" s="51" customFormat="1" ht="13.5" customHeight="1" x14ac:dyDescent="0.2"/>
    <row r="958" s="51" customFormat="1" ht="13.5" customHeight="1" x14ac:dyDescent="0.2"/>
    <row r="959" s="51" customFormat="1" ht="13.5" customHeight="1" x14ac:dyDescent="0.2"/>
    <row r="960" s="51" customFormat="1" ht="13.5" customHeight="1" x14ac:dyDescent="0.2"/>
    <row r="961" s="51" customFormat="1" ht="13.5" customHeight="1" x14ac:dyDescent="0.2"/>
    <row r="962" s="51" customFormat="1" ht="13.5" customHeight="1" x14ac:dyDescent="0.2"/>
    <row r="963" s="51" customFormat="1" ht="13.5" customHeight="1" x14ac:dyDescent="0.2"/>
    <row r="964" s="51" customFormat="1" ht="13.5" customHeight="1" x14ac:dyDescent="0.2"/>
    <row r="965" s="51" customFormat="1" ht="13.5" customHeight="1" x14ac:dyDescent="0.2"/>
    <row r="966" s="51" customFormat="1" ht="13.5" customHeight="1" x14ac:dyDescent="0.2"/>
    <row r="967" s="51" customFormat="1" ht="13.5" customHeight="1" x14ac:dyDescent="0.2"/>
    <row r="968" s="51" customFormat="1" ht="13.5" customHeight="1" x14ac:dyDescent="0.2"/>
    <row r="969" s="51" customFormat="1" ht="13.5" customHeight="1" x14ac:dyDescent="0.2"/>
    <row r="970" s="51" customFormat="1" ht="13.5" customHeight="1" x14ac:dyDescent="0.2"/>
    <row r="971" s="51" customFormat="1" ht="13.5" customHeight="1" x14ac:dyDescent="0.2"/>
    <row r="972" s="51" customFormat="1" ht="13.5" customHeight="1" x14ac:dyDescent="0.2"/>
    <row r="973" s="51" customFormat="1" ht="13.5" customHeight="1" x14ac:dyDescent="0.2"/>
    <row r="974" s="51" customFormat="1" ht="13.5" customHeight="1" x14ac:dyDescent="0.2"/>
    <row r="975" s="51" customFormat="1" ht="13.5" customHeight="1" x14ac:dyDescent="0.2"/>
    <row r="976" s="51" customFormat="1" ht="13.5" customHeight="1" x14ac:dyDescent="0.2"/>
    <row r="977" s="51" customFormat="1" ht="13.5" customHeight="1" x14ac:dyDescent="0.2"/>
    <row r="978" s="51" customFormat="1" ht="13.5" customHeight="1" x14ac:dyDescent="0.2"/>
    <row r="979" s="51" customFormat="1" ht="13.5" customHeight="1" x14ac:dyDescent="0.2"/>
    <row r="980" s="51" customFormat="1" ht="13.5" customHeight="1" x14ac:dyDescent="0.2"/>
    <row r="981" s="51" customFormat="1" ht="13.5" customHeight="1" x14ac:dyDescent="0.2"/>
    <row r="982" s="51" customFormat="1" ht="13.5" customHeight="1" x14ac:dyDescent="0.2"/>
    <row r="983" s="51" customFormat="1" ht="13.5" customHeight="1" x14ac:dyDescent="0.2"/>
    <row r="984" s="51" customFormat="1" ht="13.5" customHeight="1" x14ac:dyDescent="0.2"/>
    <row r="985" s="51" customFormat="1" ht="13.5" customHeight="1" x14ac:dyDescent="0.2"/>
    <row r="986" s="51" customFormat="1" ht="13.5" customHeight="1" x14ac:dyDescent="0.2"/>
    <row r="987" s="51" customFormat="1" ht="13.5" customHeight="1" x14ac:dyDescent="0.2"/>
    <row r="988" s="51" customFormat="1" ht="13.5" customHeight="1" x14ac:dyDescent="0.2"/>
    <row r="989" s="51" customFormat="1" ht="13.5" customHeight="1" x14ac:dyDescent="0.2"/>
    <row r="990" s="51" customFormat="1" ht="13.5" customHeight="1" x14ac:dyDescent="0.2"/>
    <row r="991" s="51" customFormat="1" ht="13.5" customHeight="1" x14ac:dyDescent="0.2"/>
    <row r="992" s="51" customFormat="1" ht="13.5" customHeight="1" x14ac:dyDescent="0.2"/>
    <row r="993" s="51" customFormat="1" ht="13.5" customHeight="1" x14ac:dyDescent="0.2"/>
    <row r="994" s="51" customFormat="1" ht="13.5" customHeight="1" x14ac:dyDescent="0.2"/>
    <row r="995" s="51" customFormat="1" ht="13.5" customHeight="1" x14ac:dyDescent="0.2"/>
    <row r="996" s="51" customFormat="1" ht="13.5" customHeight="1" x14ac:dyDescent="0.2"/>
    <row r="997" s="51" customFormat="1" ht="13.5" customHeight="1" x14ac:dyDescent="0.2"/>
    <row r="998" s="51" customFormat="1" ht="13.5" customHeight="1" x14ac:dyDescent="0.2"/>
    <row r="999" s="51" customFormat="1" ht="13.5" customHeight="1" x14ac:dyDescent="0.2"/>
    <row r="1000" s="51" customFormat="1" ht="13.5" customHeight="1" x14ac:dyDescent="0.2"/>
  </sheetData>
  <mergeCells count="9">
    <mergeCell ref="B48:N48"/>
    <mergeCell ref="B52:N52"/>
    <mergeCell ref="B2:N3"/>
    <mergeCell ref="B4:N4"/>
    <mergeCell ref="B8:N8"/>
    <mergeCell ref="B16:N16"/>
    <mergeCell ref="B24:N24"/>
    <mergeCell ref="B32:N32"/>
    <mergeCell ref="B40:N40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N1000"/>
  <sheetViews>
    <sheetView showGridLines="0" workbookViewId="0">
      <selection activeCell="B23" sqref="B23:N23"/>
    </sheetView>
  </sheetViews>
  <sheetFormatPr baseColWidth="10" defaultColWidth="12.6640625" defaultRowHeight="15" customHeight="1" x14ac:dyDescent="0.2"/>
  <cols>
    <col min="1" max="1" width="3.33203125" style="51" customWidth="1"/>
    <col min="2" max="2" width="31" style="51" customWidth="1"/>
    <col min="3" max="14" width="12" style="51" customWidth="1"/>
    <col min="15" max="27" width="8.83203125" style="51" customWidth="1"/>
    <col min="28" max="16384" width="12.6640625" style="51"/>
  </cols>
  <sheetData>
    <row r="2" spans="2:14" ht="13.5" customHeight="1" x14ac:dyDescent="0.2">
      <c r="B2" s="57" t="s">
        <v>264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</row>
    <row r="3" spans="2:14" ht="13.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</row>
    <row r="4" spans="2:14" ht="13.5" customHeight="1" x14ac:dyDescent="0.2">
      <c r="B4" s="74" t="s">
        <v>265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2:14" ht="13.5" customHeight="1" x14ac:dyDescent="0.2"/>
    <row r="6" spans="2:14" ht="13.5" customHeight="1" x14ac:dyDescent="0.2">
      <c r="B6" s="50" t="s">
        <v>183</v>
      </c>
      <c r="C6" s="18">
        <v>46388</v>
      </c>
      <c r="D6" s="18">
        <v>46419</v>
      </c>
      <c r="E6" s="18">
        <v>46447</v>
      </c>
      <c r="F6" s="18">
        <v>46478</v>
      </c>
      <c r="G6" s="18">
        <v>46508</v>
      </c>
      <c r="H6" s="18">
        <v>46539</v>
      </c>
      <c r="I6" s="18">
        <v>46569</v>
      </c>
      <c r="J6" s="18">
        <v>46600</v>
      </c>
      <c r="K6" s="18">
        <v>46631</v>
      </c>
      <c r="L6" s="18">
        <v>46661</v>
      </c>
      <c r="M6" s="18">
        <v>46692</v>
      </c>
      <c r="N6" s="18">
        <v>46722</v>
      </c>
    </row>
    <row r="7" spans="2:14" ht="13.5" customHeight="1" x14ac:dyDescent="0.2"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2:14" ht="13.5" customHeight="1" x14ac:dyDescent="0.2">
      <c r="B8" s="66" t="s">
        <v>266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8"/>
    </row>
    <row r="9" spans="2:14" ht="13.5" customHeight="1" x14ac:dyDescent="0.2">
      <c r="B9" s="19" t="s">
        <v>32</v>
      </c>
      <c r="C9" s="21">
        <f>Revenue!C$48</f>
        <v>627.56481999999994</v>
      </c>
      <c r="D9" s="21">
        <f>Revenue!D$48</f>
        <v>666.87985090672043</v>
      </c>
      <c r="E9" s="21">
        <f>Revenue!E$48</f>
        <v>709.08266623480984</v>
      </c>
      <c r="F9" s="21">
        <f>Revenue!F$48</f>
        <v>755.28398560770722</v>
      </c>
      <c r="G9" s="21">
        <f>Revenue!G$48</f>
        <v>805.76801314032321</v>
      </c>
      <c r="H9" s="21">
        <f>Revenue!H$48</f>
        <v>860.51076118425317</v>
      </c>
      <c r="I9" s="21">
        <f>Revenue!I$48</f>
        <v>919.48838665719552</v>
      </c>
      <c r="J9" s="21">
        <f>Revenue!J$48</f>
        <v>982.67719017579509</v>
      </c>
      <c r="K9" s="21">
        <f>Revenue!K$48</f>
        <v>1050.0536151936892</v>
      </c>
      <c r="L9" s="21">
        <f>Revenue!L$48</f>
        <v>1121.5942471447256</v>
      </c>
      <c r="M9" s="21">
        <f>Revenue!M$48</f>
        <v>1197.2758125913224</v>
      </c>
      <c r="N9" s="21">
        <f>Revenue!N$48</f>
        <v>1277.0751783779358</v>
      </c>
    </row>
    <row r="10" spans="2:14" ht="13.5" customHeight="1" x14ac:dyDescent="0.2">
      <c r="B10" s="19" t="s">
        <v>141</v>
      </c>
      <c r="C10" s="34">
        <f>Assumptions!$F$40</f>
        <v>45</v>
      </c>
      <c r="D10" s="34">
        <f>Assumptions!$F$40</f>
        <v>45</v>
      </c>
      <c r="E10" s="34">
        <f>Assumptions!$F$40</f>
        <v>45</v>
      </c>
      <c r="F10" s="34">
        <f>Assumptions!$F$40</f>
        <v>45</v>
      </c>
      <c r="G10" s="34">
        <f>Assumptions!$F$40</f>
        <v>45</v>
      </c>
      <c r="H10" s="34">
        <f>Assumptions!$F$40</f>
        <v>45</v>
      </c>
      <c r="I10" s="34">
        <f>Assumptions!$F$40</f>
        <v>45</v>
      </c>
      <c r="J10" s="34">
        <f>Assumptions!$F$40</f>
        <v>45</v>
      </c>
      <c r="K10" s="34">
        <f>Assumptions!$F$40</f>
        <v>45</v>
      </c>
      <c r="L10" s="34">
        <f>Assumptions!$F$40</f>
        <v>45</v>
      </c>
      <c r="M10" s="34">
        <f>Assumptions!$F$40</f>
        <v>45</v>
      </c>
      <c r="N10" s="34">
        <f>Assumptions!$F$40</f>
        <v>45</v>
      </c>
    </row>
    <row r="11" spans="2:14" ht="13.5" customHeight="1" x14ac:dyDescent="0.2">
      <c r="B11" s="19" t="s">
        <v>267</v>
      </c>
      <c r="C11" s="31">
        <f t="shared" ref="C11:N11" si="0">C9*C10/30.4</f>
        <v>928.961082236842</v>
      </c>
      <c r="D11" s="31">
        <f t="shared" si="0"/>
        <v>987.15767403955329</v>
      </c>
      <c r="E11" s="31">
        <f t="shared" si="0"/>
        <v>1049.6289467291592</v>
      </c>
      <c r="F11" s="31">
        <f t="shared" si="0"/>
        <v>1118.0190576429877</v>
      </c>
      <c r="G11" s="31">
        <f t="shared" si="0"/>
        <v>1192.7487036616626</v>
      </c>
      <c r="H11" s="31">
        <f t="shared" si="0"/>
        <v>1273.7823767530062</v>
      </c>
      <c r="I11" s="31">
        <f t="shared" si="0"/>
        <v>1361.0847828807171</v>
      </c>
      <c r="J11" s="31">
        <f t="shared" si="0"/>
        <v>1454.6208407207494</v>
      </c>
      <c r="K11" s="31">
        <f t="shared" si="0"/>
        <v>1554.3556803853953</v>
      </c>
      <c r="L11" s="31">
        <f t="shared" si="0"/>
        <v>1660.2546421550217</v>
      </c>
      <c r="M11" s="31">
        <f t="shared" si="0"/>
        <v>1772.2832752174181</v>
      </c>
      <c r="N11" s="31">
        <f t="shared" si="0"/>
        <v>1890.4073364147077</v>
      </c>
    </row>
    <row r="12" spans="2:14" ht="13.5" customHeight="1" x14ac:dyDescent="0.2">
      <c r="B12" s="19" t="s">
        <v>268</v>
      </c>
      <c r="C12" s="21">
        <f>C11-Assumptions!$F$52</f>
        <v>128.961082236842</v>
      </c>
      <c r="D12" s="31">
        <f t="shared" ref="D12:N12" si="1">D11-C11</f>
        <v>58.196591802711282</v>
      </c>
      <c r="E12" s="31">
        <f t="shared" si="1"/>
        <v>62.471272689605939</v>
      </c>
      <c r="F12" s="31">
        <f t="shared" si="1"/>
        <v>68.390110913828494</v>
      </c>
      <c r="G12" s="31">
        <f t="shared" si="1"/>
        <v>74.729646018674885</v>
      </c>
      <c r="H12" s="31">
        <f t="shared" si="1"/>
        <v>81.033673091343644</v>
      </c>
      <c r="I12" s="31">
        <f t="shared" si="1"/>
        <v>87.30240612771081</v>
      </c>
      <c r="J12" s="31">
        <f t="shared" si="1"/>
        <v>93.536057840032299</v>
      </c>
      <c r="K12" s="31">
        <f t="shared" si="1"/>
        <v>99.734839664645961</v>
      </c>
      <c r="L12" s="31">
        <f t="shared" si="1"/>
        <v>105.89896176962634</v>
      </c>
      <c r="M12" s="31">
        <f t="shared" si="1"/>
        <v>112.02863306239647</v>
      </c>
      <c r="N12" s="31">
        <f t="shared" si="1"/>
        <v>118.12406119728962</v>
      </c>
    </row>
    <row r="13" spans="2:14" ht="13.5" customHeight="1" x14ac:dyDescent="0.2">
      <c r="B13" s="19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2:14" ht="13.5" customHeight="1" x14ac:dyDescent="0.2">
      <c r="B14" s="66" t="s">
        <v>269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</row>
    <row r="15" spans="2:14" ht="13.5" customHeight="1" x14ac:dyDescent="0.2">
      <c r="B15" s="19" t="s">
        <v>270</v>
      </c>
      <c r="C15" s="21">
        <f>OpEx!C$15</f>
        <v>120.34346759999998</v>
      </c>
      <c r="D15" s="21">
        <f>OpEx!D$15</f>
        <v>127.82453236320968</v>
      </c>
      <c r="E15" s="21">
        <f>OpEx!E$15</f>
        <v>136.04528026706578</v>
      </c>
      <c r="F15" s="21">
        <f>OpEx!F$15</f>
        <v>145.20298770351849</v>
      </c>
      <c r="G15" s="21">
        <f>OpEx!G$15</f>
        <v>155.12653378902456</v>
      </c>
      <c r="H15" s="21">
        <f>OpEx!H$15</f>
        <v>165.81163103978938</v>
      </c>
      <c r="I15" s="21">
        <f>OpEx!I$15</f>
        <v>177.25401781215925</v>
      </c>
      <c r="J15" s="21">
        <f>OpEx!J$15</f>
        <v>189.449458147624</v>
      </c>
      <c r="K15" s="21">
        <f>OpEx!K$15</f>
        <v>202.39374161874903</v>
      </c>
      <c r="L15" s="21">
        <f>OpEx!L$15</f>
        <v>216.0826831760323</v>
      </c>
      <c r="M15" s="21">
        <f>OpEx!M$15</f>
        <v>230.51212299567982</v>
      </c>
      <c r="N15" s="21">
        <f>OpEx!N$15</f>
        <v>245.6779263282948</v>
      </c>
    </row>
    <row r="16" spans="2:14" ht="13.5" customHeight="1" x14ac:dyDescent="0.2">
      <c r="B16" s="19" t="s">
        <v>144</v>
      </c>
      <c r="C16" s="34">
        <f>Assumptions!$F$41</f>
        <v>30</v>
      </c>
      <c r="D16" s="34">
        <f>Assumptions!$F$41</f>
        <v>30</v>
      </c>
      <c r="E16" s="34">
        <f>Assumptions!$F$41</f>
        <v>30</v>
      </c>
      <c r="F16" s="34">
        <f>Assumptions!$F$41</f>
        <v>30</v>
      </c>
      <c r="G16" s="34">
        <f>Assumptions!$F$41</f>
        <v>30</v>
      </c>
      <c r="H16" s="34">
        <f>Assumptions!$F$41</f>
        <v>30</v>
      </c>
      <c r="I16" s="34">
        <f>Assumptions!$F$41</f>
        <v>30</v>
      </c>
      <c r="J16" s="34">
        <f>Assumptions!$F$41</f>
        <v>30</v>
      </c>
      <c r="K16" s="34">
        <f>Assumptions!$F$41</f>
        <v>30</v>
      </c>
      <c r="L16" s="34">
        <f>Assumptions!$F$41</f>
        <v>30</v>
      </c>
      <c r="M16" s="34">
        <f>Assumptions!$F$41</f>
        <v>30</v>
      </c>
      <c r="N16" s="34">
        <f>Assumptions!$F$41</f>
        <v>30</v>
      </c>
    </row>
    <row r="17" spans="2:14" ht="13.5" customHeight="1" x14ac:dyDescent="0.2">
      <c r="B17" s="19" t="s">
        <v>271</v>
      </c>
      <c r="C17" s="31">
        <f t="shared" ref="C17:N17" si="2">C15*C16/30.4</f>
        <v>118.76000092105262</v>
      </c>
      <c r="D17" s="31">
        <f t="shared" si="2"/>
        <v>126.14263062158851</v>
      </c>
      <c r="E17" s="31">
        <f t="shared" si="2"/>
        <v>134.25521078986756</v>
      </c>
      <c r="F17" s="31">
        <f t="shared" si="2"/>
        <v>143.29242207584062</v>
      </c>
      <c r="G17" s="31">
        <f t="shared" si="2"/>
        <v>153.0853951865374</v>
      </c>
      <c r="H17" s="31">
        <f t="shared" si="2"/>
        <v>163.62989905242372</v>
      </c>
      <c r="I17" s="31">
        <f t="shared" si="2"/>
        <v>174.92172810410452</v>
      </c>
      <c r="J17" s="31">
        <f t="shared" si="2"/>
        <v>186.95670211936581</v>
      </c>
      <c r="K17" s="31">
        <f t="shared" si="2"/>
        <v>199.73066607113392</v>
      </c>
      <c r="L17" s="31">
        <f t="shared" si="2"/>
        <v>213.23948997634767</v>
      </c>
      <c r="M17" s="31">
        <f t="shared" si="2"/>
        <v>227.47906874573667</v>
      </c>
      <c r="N17" s="31">
        <f t="shared" si="2"/>
        <v>242.44532203450146</v>
      </c>
    </row>
    <row r="18" spans="2:14" ht="13.5" customHeight="1" x14ac:dyDescent="0.2">
      <c r="B18" s="19" t="s">
        <v>272</v>
      </c>
      <c r="C18" s="21">
        <f>C17-Assumptions!$F$56</f>
        <v>-131.23999907894739</v>
      </c>
      <c r="D18" s="31">
        <f t="shared" ref="D18:N18" si="3">D17-C17</f>
        <v>7.3826297005358867</v>
      </c>
      <c r="E18" s="31">
        <f t="shared" si="3"/>
        <v>8.1125801682790524</v>
      </c>
      <c r="F18" s="31">
        <f t="shared" si="3"/>
        <v>9.0372112859730578</v>
      </c>
      <c r="G18" s="31">
        <f t="shared" si="3"/>
        <v>9.7929731106967779</v>
      </c>
      <c r="H18" s="31">
        <f t="shared" si="3"/>
        <v>10.544503865886327</v>
      </c>
      <c r="I18" s="31">
        <f t="shared" si="3"/>
        <v>11.291829051680793</v>
      </c>
      <c r="J18" s="31">
        <f t="shared" si="3"/>
        <v>12.034974015261298</v>
      </c>
      <c r="K18" s="31">
        <f t="shared" si="3"/>
        <v>12.77396395176811</v>
      </c>
      <c r="L18" s="31">
        <f t="shared" si="3"/>
        <v>13.508823905213745</v>
      </c>
      <c r="M18" s="31">
        <f t="shared" si="3"/>
        <v>14.239578769388999</v>
      </c>
      <c r="N18" s="31">
        <f t="shared" si="3"/>
        <v>14.96625328876479</v>
      </c>
    </row>
    <row r="19" spans="2:14" ht="13.5" customHeight="1" x14ac:dyDescent="0.2">
      <c r="B19" s="19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2:14" ht="13.5" customHeight="1" x14ac:dyDescent="0.2">
      <c r="B20" s="66" t="s">
        <v>273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8"/>
    </row>
    <row r="21" spans="2:14" ht="13.5" customHeight="1" x14ac:dyDescent="0.2">
      <c r="B21" s="19" t="s">
        <v>274</v>
      </c>
      <c r="C21" s="21">
        <f>OpEx!C$32</f>
        <v>440</v>
      </c>
      <c r="D21" s="21">
        <f>OpEx!D$32</f>
        <v>440</v>
      </c>
      <c r="E21" s="21">
        <f>OpEx!E$32</f>
        <v>440</v>
      </c>
      <c r="F21" s="21">
        <f>OpEx!F$32</f>
        <v>440</v>
      </c>
      <c r="G21" s="21">
        <f>OpEx!G$32</f>
        <v>440</v>
      </c>
      <c r="H21" s="21">
        <f>OpEx!H$32</f>
        <v>440</v>
      </c>
      <c r="I21" s="21">
        <f>OpEx!I$32</f>
        <v>440</v>
      </c>
      <c r="J21" s="21">
        <f>OpEx!J$32</f>
        <v>440</v>
      </c>
      <c r="K21" s="21">
        <f>OpEx!K$32</f>
        <v>440</v>
      </c>
      <c r="L21" s="21">
        <f>OpEx!L$32</f>
        <v>440</v>
      </c>
      <c r="M21" s="21">
        <f>OpEx!M$32</f>
        <v>440</v>
      </c>
      <c r="N21" s="21">
        <f>OpEx!N$32</f>
        <v>440</v>
      </c>
    </row>
    <row r="22" spans="2:14" ht="13.5" customHeight="1" x14ac:dyDescent="0.2">
      <c r="B22" s="19" t="s">
        <v>275</v>
      </c>
      <c r="C22" s="29">
        <f>Assumptions!$F$43</f>
        <v>0.05</v>
      </c>
      <c r="D22" s="29">
        <f>Assumptions!$F$43</f>
        <v>0.05</v>
      </c>
      <c r="E22" s="29">
        <f>Assumptions!$F$43</f>
        <v>0.05</v>
      </c>
      <c r="F22" s="29">
        <f>Assumptions!$F$43</f>
        <v>0.05</v>
      </c>
      <c r="G22" s="29">
        <f>Assumptions!$F$43</f>
        <v>0.05</v>
      </c>
      <c r="H22" s="29">
        <f>Assumptions!$F$43</f>
        <v>0.05</v>
      </c>
      <c r="I22" s="29">
        <f>Assumptions!$F$43</f>
        <v>0.05</v>
      </c>
      <c r="J22" s="29">
        <f>Assumptions!$F$43</f>
        <v>0.05</v>
      </c>
      <c r="K22" s="29">
        <f>Assumptions!$F$43</f>
        <v>0.05</v>
      </c>
      <c r="L22" s="29">
        <f>Assumptions!$F$43</f>
        <v>0.05</v>
      </c>
      <c r="M22" s="29">
        <f>Assumptions!$F$43</f>
        <v>0.05</v>
      </c>
      <c r="N22" s="29">
        <f>Assumptions!$F$43</f>
        <v>0.05</v>
      </c>
    </row>
    <row r="23" spans="2:14" ht="13.5" customHeight="1" x14ac:dyDescent="0.2">
      <c r="B23" s="19" t="s">
        <v>276</v>
      </c>
      <c r="C23" s="31">
        <f t="shared" ref="C23:N23" si="4">C21*C22</f>
        <v>22</v>
      </c>
      <c r="D23" s="31">
        <f t="shared" si="4"/>
        <v>22</v>
      </c>
      <c r="E23" s="31">
        <f t="shared" si="4"/>
        <v>22</v>
      </c>
      <c r="F23" s="31">
        <f t="shared" si="4"/>
        <v>22</v>
      </c>
      <c r="G23" s="31">
        <f t="shared" si="4"/>
        <v>22</v>
      </c>
      <c r="H23" s="31">
        <f t="shared" si="4"/>
        <v>22</v>
      </c>
      <c r="I23" s="31">
        <f t="shared" si="4"/>
        <v>22</v>
      </c>
      <c r="J23" s="31">
        <f t="shared" si="4"/>
        <v>22</v>
      </c>
      <c r="K23" s="31">
        <f t="shared" si="4"/>
        <v>22</v>
      </c>
      <c r="L23" s="31">
        <f t="shared" si="4"/>
        <v>22</v>
      </c>
      <c r="M23" s="31">
        <f t="shared" si="4"/>
        <v>22</v>
      </c>
      <c r="N23" s="31">
        <f t="shared" si="4"/>
        <v>22</v>
      </c>
    </row>
    <row r="24" spans="2:14" ht="13.5" customHeight="1" x14ac:dyDescent="0.2">
      <c r="B24" s="19" t="s">
        <v>277</v>
      </c>
      <c r="C24" s="21">
        <f>C23-Assumptions!$F$53</f>
        <v>-98</v>
      </c>
      <c r="D24" s="31">
        <f t="shared" ref="D24:N24" si="5">D23-C23</f>
        <v>0</v>
      </c>
      <c r="E24" s="31">
        <f t="shared" si="5"/>
        <v>0</v>
      </c>
      <c r="F24" s="31">
        <f t="shared" si="5"/>
        <v>0</v>
      </c>
      <c r="G24" s="31">
        <f t="shared" si="5"/>
        <v>0</v>
      </c>
      <c r="H24" s="31">
        <f t="shared" si="5"/>
        <v>0</v>
      </c>
      <c r="I24" s="31">
        <f t="shared" si="5"/>
        <v>0</v>
      </c>
      <c r="J24" s="31">
        <f t="shared" si="5"/>
        <v>0</v>
      </c>
      <c r="K24" s="31">
        <f t="shared" si="5"/>
        <v>0</v>
      </c>
      <c r="L24" s="31">
        <f t="shared" si="5"/>
        <v>0</v>
      </c>
      <c r="M24" s="31">
        <f t="shared" si="5"/>
        <v>0</v>
      </c>
      <c r="N24" s="31">
        <f t="shared" si="5"/>
        <v>0</v>
      </c>
    </row>
    <row r="25" spans="2:14" ht="13.5" customHeight="1" x14ac:dyDescent="0.2">
      <c r="B25" s="1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2:14" ht="13.5" customHeight="1" x14ac:dyDescent="0.2">
      <c r="B26" s="66" t="s">
        <v>278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8"/>
    </row>
    <row r="27" spans="2:14" ht="13.5" customHeight="1" x14ac:dyDescent="0.2">
      <c r="B27" s="19" t="s">
        <v>263</v>
      </c>
      <c r="C27" s="21">
        <f>OpEx!C$37</f>
        <v>1142.7887499999999</v>
      </c>
      <c r="D27" s="21">
        <f>OpEx!D$37</f>
        <v>1178.2595175000001</v>
      </c>
      <c r="E27" s="21">
        <f>OpEx!E$37</f>
        <v>1213.5174603949999</v>
      </c>
      <c r="F27" s="21">
        <f>OpEx!F$37</f>
        <v>1248.5638556326301</v>
      </c>
      <c r="G27" s="21">
        <f>OpEx!G$37</f>
        <v>1283.3999724988344</v>
      </c>
      <c r="H27" s="21">
        <f>OpEx!H$37</f>
        <v>1318.027072663841</v>
      </c>
      <c r="I27" s="21">
        <f>OpEx!I$37</f>
        <v>1352.4464102278582</v>
      </c>
      <c r="J27" s="21">
        <f>OpEx!J$37</f>
        <v>1386.6592317664908</v>
      </c>
      <c r="K27" s="21">
        <f>OpEx!K$37</f>
        <v>1420.6667763758919</v>
      </c>
      <c r="L27" s="21">
        <f>OpEx!L$37</f>
        <v>1454.4702757176365</v>
      </c>
      <c r="M27" s="21">
        <f>OpEx!M$37</f>
        <v>1488.0709540633309</v>
      </c>
      <c r="N27" s="21">
        <f>OpEx!N$37</f>
        <v>1521.4700283389509</v>
      </c>
    </row>
    <row r="28" spans="2:14" ht="13.5" customHeight="1" x14ac:dyDescent="0.2">
      <c r="B28" s="19" t="s">
        <v>279</v>
      </c>
      <c r="C28" s="29">
        <f>Assumptions!$F$42</f>
        <v>0.1</v>
      </c>
      <c r="D28" s="29">
        <f>Assumptions!$F$42</f>
        <v>0.1</v>
      </c>
      <c r="E28" s="29">
        <f>Assumptions!$F$42</f>
        <v>0.1</v>
      </c>
      <c r="F28" s="29">
        <f>Assumptions!$F$42</f>
        <v>0.1</v>
      </c>
      <c r="G28" s="29">
        <f>Assumptions!$F$42</f>
        <v>0.1</v>
      </c>
      <c r="H28" s="29">
        <f>Assumptions!$F$42</f>
        <v>0.1</v>
      </c>
      <c r="I28" s="29">
        <f>Assumptions!$F$42</f>
        <v>0.1</v>
      </c>
      <c r="J28" s="29">
        <f>Assumptions!$F$42</f>
        <v>0.1</v>
      </c>
      <c r="K28" s="29">
        <f>Assumptions!$F$42</f>
        <v>0.1</v>
      </c>
      <c r="L28" s="29">
        <f>Assumptions!$F$42</f>
        <v>0.1</v>
      </c>
      <c r="M28" s="29">
        <f>Assumptions!$F$42</f>
        <v>0.1</v>
      </c>
      <c r="N28" s="29">
        <f>Assumptions!$F$42</f>
        <v>0.1</v>
      </c>
    </row>
    <row r="29" spans="2:14" ht="13.5" customHeight="1" x14ac:dyDescent="0.2">
      <c r="B29" s="19" t="s">
        <v>280</v>
      </c>
      <c r="C29" s="31">
        <f t="shared" ref="C29:N29" si="6">C27*C28</f>
        <v>114.278875</v>
      </c>
      <c r="D29" s="31">
        <f t="shared" si="6"/>
        <v>117.82595175000002</v>
      </c>
      <c r="E29" s="31">
        <f t="shared" si="6"/>
        <v>121.3517460395</v>
      </c>
      <c r="F29" s="31">
        <f t="shared" si="6"/>
        <v>124.85638556326302</v>
      </c>
      <c r="G29" s="31">
        <f t="shared" si="6"/>
        <v>128.33999724988345</v>
      </c>
      <c r="H29" s="31">
        <f t="shared" si="6"/>
        <v>131.80270726638409</v>
      </c>
      <c r="I29" s="31">
        <f t="shared" si="6"/>
        <v>135.24464102278583</v>
      </c>
      <c r="J29" s="31">
        <f t="shared" si="6"/>
        <v>138.6659231766491</v>
      </c>
      <c r="K29" s="31">
        <f t="shared" si="6"/>
        <v>142.06667763758921</v>
      </c>
      <c r="L29" s="31">
        <f t="shared" si="6"/>
        <v>145.44702757176364</v>
      </c>
      <c r="M29" s="31">
        <f t="shared" si="6"/>
        <v>148.8070954063331</v>
      </c>
      <c r="N29" s="31">
        <f t="shared" si="6"/>
        <v>152.1470028338951</v>
      </c>
    </row>
    <row r="30" spans="2:14" ht="13.5" customHeight="1" x14ac:dyDescent="0.2">
      <c r="B30" s="19" t="s">
        <v>281</v>
      </c>
      <c r="C30" s="21">
        <f>C29-Assumptions!$F$57</f>
        <v>-85.721125000000001</v>
      </c>
      <c r="D30" s="31">
        <f t="shared" ref="D30:N30" si="7">D29-C29</f>
        <v>3.5470767500000164</v>
      </c>
      <c r="E30" s="31">
        <f t="shared" si="7"/>
        <v>3.5257942894999843</v>
      </c>
      <c r="F30" s="31">
        <f t="shared" si="7"/>
        <v>3.5046395237630179</v>
      </c>
      <c r="G30" s="31">
        <f t="shared" si="7"/>
        <v>3.483611686620435</v>
      </c>
      <c r="H30" s="31">
        <f t="shared" si="7"/>
        <v>3.4627100165006368</v>
      </c>
      <c r="I30" s="31">
        <f t="shared" si="7"/>
        <v>3.4419337564017383</v>
      </c>
      <c r="J30" s="31">
        <f t="shared" si="7"/>
        <v>3.4212821538632738</v>
      </c>
      <c r="K30" s="31">
        <f t="shared" si="7"/>
        <v>3.4007544609401066</v>
      </c>
      <c r="L30" s="31">
        <f t="shared" si="7"/>
        <v>3.3803499341744327</v>
      </c>
      <c r="M30" s="31">
        <f t="shared" si="7"/>
        <v>3.3600678345694632</v>
      </c>
      <c r="N30" s="31">
        <f t="shared" si="7"/>
        <v>3.3399074275619967</v>
      </c>
    </row>
    <row r="31" spans="2:14" ht="13.5" customHeight="1" x14ac:dyDescent="0.2">
      <c r="B31" s="1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2:14" ht="13.5" customHeight="1" x14ac:dyDescent="0.2">
      <c r="B32" s="66" t="s">
        <v>282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</row>
    <row r="33" spans="2:14" ht="13.5" customHeight="1" x14ac:dyDescent="0.2">
      <c r="B33" s="19" t="s">
        <v>206</v>
      </c>
      <c r="C33" s="21">
        <f>Revenue!C$56</f>
        <v>600</v>
      </c>
      <c r="D33" s="21">
        <f>Revenue!D$56</f>
        <v>1051.1100000000001</v>
      </c>
      <c r="E33" s="21">
        <f>Revenue!E$56</f>
        <v>1489.3383399999998</v>
      </c>
      <c r="F33" s="21">
        <f>Revenue!F$56</f>
        <v>1926.0489273835828</v>
      </c>
      <c r="G33" s="21">
        <f>Revenue!G$56</f>
        <v>2371.3229871472704</v>
      </c>
      <c r="H33" s="21">
        <f>Revenue!H$56</f>
        <v>2820.5506571524984</v>
      </c>
      <c r="I33" s="21">
        <f>Revenue!I$56</f>
        <v>3269.1480263705898</v>
      </c>
      <c r="J33" s="21">
        <f>Revenue!J$56</f>
        <v>3712.5569785360831</v>
      </c>
      <c r="K33" s="21">
        <f>Revenue!K$56</f>
        <v>4146.2450367379042</v>
      </c>
      <c r="L33" s="21">
        <f>Revenue!L$56</f>
        <v>4565.7052089427452</v>
      </c>
      <c r="M33" s="21">
        <f>Revenue!M$56</f>
        <v>4966.4558344450725</v>
      </c>
      <c r="N33" s="21">
        <f>Revenue!N$56</f>
        <v>5344.0404312381843</v>
      </c>
    </row>
    <row r="34" spans="2:14" ht="13.5" customHeight="1" x14ac:dyDescent="0.2">
      <c r="B34" s="19" t="s">
        <v>35</v>
      </c>
      <c r="C34" s="21">
        <f>Revenue!C$55</f>
        <v>1078.67482</v>
      </c>
      <c r="D34" s="21">
        <f>Revenue!D$55</f>
        <v>1105.1081909067204</v>
      </c>
      <c r="E34" s="21">
        <f>Revenue!E$55</f>
        <v>1145.7932536183932</v>
      </c>
      <c r="F34" s="21">
        <f>Revenue!F$55</f>
        <v>1200.5580453713944</v>
      </c>
      <c r="G34" s="21">
        <f>Revenue!G$55</f>
        <v>1254.9956831455509</v>
      </c>
      <c r="H34" s="21">
        <f>Revenue!H$55</f>
        <v>1309.1081304023442</v>
      </c>
      <c r="I34" s="21">
        <f>Revenue!I$55</f>
        <v>1362.8973388226887</v>
      </c>
      <c r="J34" s="21">
        <f>Revenue!J$55</f>
        <v>1416.3652483776154</v>
      </c>
      <c r="K34" s="21">
        <f>Revenue!K$55</f>
        <v>1469.5137873985307</v>
      </c>
      <c r="L34" s="21">
        <f>Revenue!L$55</f>
        <v>1522.3448726470529</v>
      </c>
      <c r="M34" s="21">
        <f>Revenue!M$55</f>
        <v>1574.860409384434</v>
      </c>
      <c r="N34" s="21">
        <f>Revenue!N$55</f>
        <v>1627.062291440559</v>
      </c>
    </row>
    <row r="35" spans="2:14" ht="13.5" customHeight="1" x14ac:dyDescent="0.2">
      <c r="B35" s="19" t="s">
        <v>283</v>
      </c>
      <c r="C35" s="21">
        <f>Revenue!C$48</f>
        <v>627.56481999999994</v>
      </c>
      <c r="D35" s="21">
        <f>Revenue!D$48</f>
        <v>666.87985090672043</v>
      </c>
      <c r="E35" s="21">
        <f>Revenue!E$48</f>
        <v>709.08266623480984</v>
      </c>
      <c r="F35" s="21">
        <f>Revenue!F$48</f>
        <v>755.28398560770722</v>
      </c>
      <c r="G35" s="21">
        <f>Revenue!G$48</f>
        <v>805.76801314032321</v>
      </c>
      <c r="H35" s="21">
        <f>Revenue!H$48</f>
        <v>860.51076118425317</v>
      </c>
      <c r="I35" s="21">
        <f>Revenue!I$48</f>
        <v>919.48838665719552</v>
      </c>
      <c r="J35" s="21">
        <f>Revenue!J$48</f>
        <v>982.67719017579509</v>
      </c>
      <c r="K35" s="21">
        <f>Revenue!K$48</f>
        <v>1050.0536151936892</v>
      </c>
      <c r="L35" s="21">
        <f>Revenue!L$48</f>
        <v>1121.5942471447256</v>
      </c>
      <c r="M35" s="21">
        <f>Revenue!M$48</f>
        <v>1197.2758125913224</v>
      </c>
      <c r="N35" s="21">
        <f>Revenue!N$48</f>
        <v>1277.0751783779358</v>
      </c>
    </row>
    <row r="36" spans="2:14" ht="13.5" customHeight="1" x14ac:dyDescent="0.2">
      <c r="B36" s="19" t="s">
        <v>209</v>
      </c>
      <c r="C36" s="21">
        <f>Revenue!C$59</f>
        <v>1051.1100000000001</v>
      </c>
      <c r="D36" s="21">
        <f>Revenue!D$59</f>
        <v>1489.3383399999998</v>
      </c>
      <c r="E36" s="21">
        <f>Revenue!E$59</f>
        <v>1926.0489273835828</v>
      </c>
      <c r="F36" s="21">
        <f>Revenue!F$59</f>
        <v>2371.3229871472704</v>
      </c>
      <c r="G36" s="21">
        <f>Revenue!G$59</f>
        <v>2820.5506571524984</v>
      </c>
      <c r="H36" s="21">
        <f>Revenue!H$59</f>
        <v>3269.1480263705898</v>
      </c>
      <c r="I36" s="21">
        <f>Revenue!I$59</f>
        <v>3712.5569785360831</v>
      </c>
      <c r="J36" s="21">
        <f>Revenue!J$59</f>
        <v>4146.2450367379042</v>
      </c>
      <c r="K36" s="21">
        <f>Revenue!K$59</f>
        <v>4565.7052089427452</v>
      </c>
      <c r="L36" s="21">
        <f>Revenue!L$59</f>
        <v>4966.4558344450725</v>
      </c>
      <c r="M36" s="21">
        <f>Revenue!M$59</f>
        <v>5344.0404312381843</v>
      </c>
      <c r="N36" s="21">
        <f>Revenue!N$59</f>
        <v>5694.0275443008068</v>
      </c>
    </row>
    <row r="37" spans="2:14" ht="13.5" customHeight="1" x14ac:dyDescent="0.2">
      <c r="B37" s="19" t="s">
        <v>284</v>
      </c>
      <c r="C37" s="31">
        <f t="shared" ref="C37:N37" si="8">C36-C33</f>
        <v>451.11000000000013</v>
      </c>
      <c r="D37" s="31">
        <f t="shared" si="8"/>
        <v>438.22833999999966</v>
      </c>
      <c r="E37" s="31">
        <f t="shared" si="8"/>
        <v>436.71058738358306</v>
      </c>
      <c r="F37" s="31">
        <f t="shared" si="8"/>
        <v>445.27405976368755</v>
      </c>
      <c r="G37" s="31">
        <f t="shared" si="8"/>
        <v>449.22767000522799</v>
      </c>
      <c r="H37" s="31">
        <f t="shared" si="8"/>
        <v>448.59736921809144</v>
      </c>
      <c r="I37" s="31">
        <f t="shared" si="8"/>
        <v>443.40895216549325</v>
      </c>
      <c r="J37" s="31">
        <f t="shared" si="8"/>
        <v>433.68805820182115</v>
      </c>
      <c r="K37" s="31">
        <f t="shared" si="8"/>
        <v>419.460172204841</v>
      </c>
      <c r="L37" s="31">
        <f t="shared" si="8"/>
        <v>400.75062550232724</v>
      </c>
      <c r="M37" s="31">
        <f t="shared" si="8"/>
        <v>377.58459679311181</v>
      </c>
      <c r="N37" s="31">
        <f t="shared" si="8"/>
        <v>349.98711306262248</v>
      </c>
    </row>
    <row r="38" spans="2:14" ht="13.5" customHeight="1" x14ac:dyDescent="0.2">
      <c r="B38" s="19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2:14" ht="13.5" customHeight="1" x14ac:dyDescent="0.2">
      <c r="B39" s="66" t="s">
        <v>285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8"/>
    </row>
    <row r="40" spans="2:14" ht="13.5" customHeight="1" x14ac:dyDescent="0.2">
      <c r="B40" s="19" t="s">
        <v>286</v>
      </c>
      <c r="C40" s="31">
        <f t="shared" ref="C40:N40" si="9">C11+C23-C17-C29-C36</f>
        <v>-333.18779368421076</v>
      </c>
      <c r="D40" s="31">
        <f t="shared" si="9"/>
        <v>-724.14924833203509</v>
      </c>
      <c r="E40" s="31">
        <f t="shared" si="9"/>
        <v>-1110.0269374837912</v>
      </c>
      <c r="F40" s="31">
        <f t="shared" si="9"/>
        <v>-1499.4527371433862</v>
      </c>
      <c r="G40" s="31">
        <f t="shared" si="9"/>
        <v>-1887.2273459272567</v>
      </c>
      <c r="H40" s="31">
        <f t="shared" si="9"/>
        <v>-2268.7982559363913</v>
      </c>
      <c r="I40" s="31">
        <f t="shared" si="9"/>
        <v>-2639.6385647822563</v>
      </c>
      <c r="J40" s="31">
        <f t="shared" si="9"/>
        <v>-2995.2468213131697</v>
      </c>
      <c r="K40" s="31">
        <f t="shared" si="9"/>
        <v>-3331.1468722660729</v>
      </c>
      <c r="L40" s="31">
        <f t="shared" si="9"/>
        <v>-3642.8877098381618</v>
      </c>
      <c r="M40" s="31">
        <f t="shared" si="9"/>
        <v>-3926.0433201728356</v>
      </c>
      <c r="N40" s="31">
        <f t="shared" si="9"/>
        <v>-4176.2125327544954</v>
      </c>
    </row>
    <row r="41" spans="2:14" ht="13.5" customHeight="1" x14ac:dyDescent="0.2">
      <c r="B41" s="19" t="s">
        <v>287</v>
      </c>
      <c r="C41" s="21">
        <f>C40-(Assumptions!$F$52+Assumptions!$F$53-Assumptions!$F$56-Assumptions!$F$57-Assumptions!$F$58)</f>
        <v>-203.18779368421076</v>
      </c>
      <c r="D41" s="31">
        <f t="shared" ref="D41:N41" si="10">D40-C40</f>
        <v>-390.96145464782433</v>
      </c>
      <c r="E41" s="31">
        <f t="shared" si="10"/>
        <v>-385.87768915175616</v>
      </c>
      <c r="F41" s="31">
        <f t="shared" si="10"/>
        <v>-389.42579965959499</v>
      </c>
      <c r="G41" s="31">
        <f t="shared" si="10"/>
        <v>-387.77460878387046</v>
      </c>
      <c r="H41" s="31">
        <f t="shared" si="10"/>
        <v>-381.57091000913465</v>
      </c>
      <c r="I41" s="31">
        <f t="shared" si="10"/>
        <v>-370.84030884586491</v>
      </c>
      <c r="J41" s="31">
        <f t="shared" si="10"/>
        <v>-355.60825653091342</v>
      </c>
      <c r="K41" s="31">
        <f t="shared" si="10"/>
        <v>-335.90005095290326</v>
      </c>
      <c r="L41" s="31">
        <f t="shared" si="10"/>
        <v>-311.74083757208882</v>
      </c>
      <c r="M41" s="31">
        <f t="shared" si="10"/>
        <v>-283.15561033467384</v>
      </c>
      <c r="N41" s="31">
        <f t="shared" si="10"/>
        <v>-250.16921258165985</v>
      </c>
    </row>
    <row r="42" spans="2:14" ht="13.5" customHeight="1" x14ac:dyDescent="0.2">
      <c r="B42" s="22" t="s">
        <v>288</v>
      </c>
      <c r="C42" s="23">
        <f t="shared" ref="C42:N42" si="11">-C12-C24+C18+C30+C37</f>
        <v>203.18779368421073</v>
      </c>
      <c r="D42" s="23">
        <f t="shared" si="11"/>
        <v>390.96145464782427</v>
      </c>
      <c r="E42" s="23">
        <f t="shared" si="11"/>
        <v>385.87768915175616</v>
      </c>
      <c r="F42" s="23">
        <f t="shared" si="11"/>
        <v>389.4257996595951</v>
      </c>
      <c r="G42" s="23">
        <f t="shared" si="11"/>
        <v>387.77460878387035</v>
      </c>
      <c r="H42" s="23">
        <f t="shared" si="11"/>
        <v>381.57091000913476</v>
      </c>
      <c r="I42" s="23">
        <f t="shared" si="11"/>
        <v>370.84030884586497</v>
      </c>
      <c r="J42" s="23">
        <f t="shared" si="11"/>
        <v>355.60825653091342</v>
      </c>
      <c r="K42" s="23">
        <f t="shared" si="11"/>
        <v>335.90005095290326</v>
      </c>
      <c r="L42" s="23">
        <f t="shared" si="11"/>
        <v>311.74083757208905</v>
      </c>
      <c r="M42" s="23">
        <f t="shared" si="11"/>
        <v>283.15561033467384</v>
      </c>
      <c r="N42" s="23">
        <f t="shared" si="11"/>
        <v>250.16921258165965</v>
      </c>
    </row>
    <row r="43" spans="2:14" ht="13.5" customHeight="1" x14ac:dyDescent="0.2">
      <c r="B43" s="19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</row>
    <row r="44" spans="2:14" ht="13.5" customHeight="1" x14ac:dyDescent="0.2">
      <c r="B44" s="19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</row>
    <row r="45" spans="2:14" ht="13.5" customHeight="1" x14ac:dyDescent="0.2">
      <c r="B45" s="19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</row>
    <row r="46" spans="2:14" ht="13.5" customHeight="1" x14ac:dyDescent="0.2">
      <c r="B46" s="19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</row>
    <row r="47" spans="2:14" ht="13.5" customHeight="1" x14ac:dyDescent="0.2"/>
    <row r="48" spans="2:14" ht="13.5" customHeight="1" x14ac:dyDescent="0.2"/>
    <row r="49" s="51" customFormat="1" ht="13.5" customHeight="1" x14ac:dyDescent="0.2"/>
    <row r="50" s="51" customFormat="1" ht="13.5" customHeight="1" x14ac:dyDescent="0.2"/>
    <row r="51" s="51" customFormat="1" ht="13.5" customHeight="1" x14ac:dyDescent="0.2"/>
    <row r="52" s="51" customFormat="1" ht="13.5" customHeight="1" x14ac:dyDescent="0.2"/>
    <row r="53" s="51" customFormat="1" ht="13.5" customHeight="1" x14ac:dyDescent="0.2"/>
    <row r="54" s="51" customFormat="1" ht="13.5" customHeight="1" x14ac:dyDescent="0.2"/>
    <row r="55" s="51" customFormat="1" ht="13.5" customHeight="1" x14ac:dyDescent="0.2"/>
    <row r="56" s="51" customFormat="1" ht="13.5" customHeight="1" x14ac:dyDescent="0.2"/>
    <row r="57" s="51" customFormat="1" ht="13.5" customHeight="1" x14ac:dyDescent="0.2"/>
    <row r="58" s="51" customFormat="1" ht="13.5" customHeight="1" x14ac:dyDescent="0.2"/>
    <row r="59" s="51" customFormat="1" ht="13.5" customHeight="1" x14ac:dyDescent="0.2"/>
    <row r="60" s="51" customFormat="1" ht="13.5" customHeight="1" x14ac:dyDescent="0.2"/>
    <row r="61" s="51" customFormat="1" ht="13.5" customHeight="1" x14ac:dyDescent="0.2"/>
    <row r="62" s="51" customFormat="1" ht="13.5" customHeight="1" x14ac:dyDescent="0.2"/>
    <row r="63" s="51" customFormat="1" ht="13.5" customHeight="1" x14ac:dyDescent="0.2"/>
    <row r="64" s="51" customFormat="1" ht="13.5" customHeight="1" x14ac:dyDescent="0.2"/>
    <row r="65" s="51" customFormat="1" ht="13.5" customHeight="1" x14ac:dyDescent="0.2"/>
    <row r="66" s="51" customFormat="1" ht="13.5" customHeight="1" x14ac:dyDescent="0.2"/>
    <row r="67" s="51" customFormat="1" ht="13.5" customHeight="1" x14ac:dyDescent="0.2"/>
    <row r="68" s="51" customFormat="1" ht="13.5" customHeight="1" x14ac:dyDescent="0.2"/>
    <row r="69" s="51" customFormat="1" ht="13.5" customHeight="1" x14ac:dyDescent="0.2"/>
    <row r="70" s="51" customFormat="1" ht="13.5" customHeight="1" x14ac:dyDescent="0.2"/>
    <row r="71" s="51" customFormat="1" ht="13.5" customHeight="1" x14ac:dyDescent="0.2"/>
    <row r="72" s="51" customFormat="1" ht="13.5" customHeight="1" x14ac:dyDescent="0.2"/>
    <row r="73" s="51" customFormat="1" ht="13.5" customHeight="1" x14ac:dyDescent="0.2"/>
    <row r="74" s="51" customFormat="1" ht="13.5" customHeight="1" x14ac:dyDescent="0.2"/>
    <row r="75" s="51" customFormat="1" ht="13.5" customHeight="1" x14ac:dyDescent="0.2"/>
    <row r="76" s="51" customFormat="1" ht="13.5" customHeight="1" x14ac:dyDescent="0.2"/>
    <row r="77" s="51" customFormat="1" ht="13.5" customHeight="1" x14ac:dyDescent="0.2"/>
    <row r="78" s="51" customFormat="1" ht="13.5" customHeight="1" x14ac:dyDescent="0.2"/>
    <row r="79" s="51" customFormat="1" ht="13.5" customHeight="1" x14ac:dyDescent="0.2"/>
    <row r="80" s="51" customFormat="1" ht="13.5" customHeight="1" x14ac:dyDescent="0.2"/>
    <row r="81" s="51" customFormat="1" ht="13.5" customHeight="1" x14ac:dyDescent="0.2"/>
    <row r="82" s="51" customFormat="1" ht="13.5" customHeight="1" x14ac:dyDescent="0.2"/>
    <row r="83" s="51" customFormat="1" ht="13.5" customHeight="1" x14ac:dyDescent="0.2"/>
    <row r="84" s="51" customFormat="1" ht="13.5" customHeight="1" x14ac:dyDescent="0.2"/>
    <row r="85" s="51" customFormat="1" ht="13.5" customHeight="1" x14ac:dyDescent="0.2"/>
    <row r="86" s="51" customFormat="1" ht="13.5" customHeight="1" x14ac:dyDescent="0.2"/>
    <row r="87" s="51" customFormat="1" ht="13.5" customHeight="1" x14ac:dyDescent="0.2"/>
    <row r="88" s="51" customFormat="1" ht="13.5" customHeight="1" x14ac:dyDescent="0.2"/>
    <row r="89" s="51" customFormat="1" ht="13.5" customHeight="1" x14ac:dyDescent="0.2"/>
    <row r="90" s="51" customFormat="1" ht="13.5" customHeight="1" x14ac:dyDescent="0.2"/>
    <row r="91" s="51" customFormat="1" ht="13.5" customHeight="1" x14ac:dyDescent="0.2"/>
    <row r="92" s="51" customFormat="1" ht="13.5" customHeight="1" x14ac:dyDescent="0.2"/>
    <row r="93" s="51" customFormat="1" ht="13.5" customHeight="1" x14ac:dyDescent="0.2"/>
    <row r="94" s="51" customFormat="1" ht="13.5" customHeight="1" x14ac:dyDescent="0.2"/>
    <row r="95" s="51" customFormat="1" ht="13.5" customHeight="1" x14ac:dyDescent="0.2"/>
    <row r="96" s="51" customFormat="1" ht="13.5" customHeight="1" x14ac:dyDescent="0.2"/>
    <row r="97" s="51" customFormat="1" ht="13.5" customHeight="1" x14ac:dyDescent="0.2"/>
    <row r="98" s="51" customFormat="1" ht="13.5" customHeight="1" x14ac:dyDescent="0.2"/>
    <row r="99" s="51" customFormat="1" ht="13.5" customHeight="1" x14ac:dyDescent="0.2"/>
    <row r="100" s="51" customFormat="1" ht="13.5" customHeight="1" x14ac:dyDescent="0.2"/>
    <row r="101" s="51" customFormat="1" ht="13.5" customHeight="1" x14ac:dyDescent="0.2"/>
    <row r="102" s="51" customFormat="1" ht="13.5" customHeight="1" x14ac:dyDescent="0.2"/>
    <row r="103" s="51" customFormat="1" ht="13.5" customHeight="1" x14ac:dyDescent="0.2"/>
    <row r="104" s="51" customFormat="1" ht="13.5" customHeight="1" x14ac:dyDescent="0.2"/>
    <row r="105" s="51" customFormat="1" ht="13.5" customHeight="1" x14ac:dyDescent="0.2"/>
    <row r="106" s="51" customFormat="1" ht="13.5" customHeight="1" x14ac:dyDescent="0.2"/>
    <row r="107" s="51" customFormat="1" ht="13.5" customHeight="1" x14ac:dyDescent="0.2"/>
    <row r="108" s="51" customFormat="1" ht="13.5" customHeight="1" x14ac:dyDescent="0.2"/>
    <row r="109" s="51" customFormat="1" ht="13.5" customHeight="1" x14ac:dyDescent="0.2"/>
    <row r="110" s="51" customFormat="1" ht="13.5" customHeight="1" x14ac:dyDescent="0.2"/>
    <row r="111" s="51" customFormat="1" ht="13.5" customHeight="1" x14ac:dyDescent="0.2"/>
    <row r="112" s="51" customFormat="1" ht="13.5" customHeight="1" x14ac:dyDescent="0.2"/>
    <row r="113" s="51" customFormat="1" ht="13.5" customHeight="1" x14ac:dyDescent="0.2"/>
    <row r="114" s="51" customFormat="1" ht="13.5" customHeight="1" x14ac:dyDescent="0.2"/>
    <row r="115" s="51" customFormat="1" ht="13.5" customHeight="1" x14ac:dyDescent="0.2"/>
    <row r="116" s="51" customFormat="1" ht="13.5" customHeight="1" x14ac:dyDescent="0.2"/>
    <row r="117" s="51" customFormat="1" ht="13.5" customHeight="1" x14ac:dyDescent="0.2"/>
    <row r="118" s="51" customFormat="1" ht="13.5" customHeight="1" x14ac:dyDescent="0.2"/>
    <row r="119" s="51" customFormat="1" ht="13.5" customHeight="1" x14ac:dyDescent="0.2"/>
    <row r="120" s="51" customFormat="1" ht="13.5" customHeight="1" x14ac:dyDescent="0.2"/>
    <row r="121" s="51" customFormat="1" ht="13.5" customHeight="1" x14ac:dyDescent="0.2"/>
    <row r="122" s="51" customFormat="1" ht="13.5" customHeight="1" x14ac:dyDescent="0.2"/>
    <row r="123" s="51" customFormat="1" ht="13.5" customHeight="1" x14ac:dyDescent="0.2"/>
    <row r="124" s="51" customFormat="1" ht="13.5" customHeight="1" x14ac:dyDescent="0.2"/>
    <row r="125" s="51" customFormat="1" ht="13.5" customHeight="1" x14ac:dyDescent="0.2"/>
    <row r="126" s="51" customFormat="1" ht="13.5" customHeight="1" x14ac:dyDescent="0.2"/>
    <row r="127" s="51" customFormat="1" ht="13.5" customHeight="1" x14ac:dyDescent="0.2"/>
    <row r="128" s="51" customFormat="1" ht="13.5" customHeight="1" x14ac:dyDescent="0.2"/>
    <row r="129" s="51" customFormat="1" ht="13.5" customHeight="1" x14ac:dyDescent="0.2"/>
    <row r="130" s="51" customFormat="1" ht="13.5" customHeight="1" x14ac:dyDescent="0.2"/>
    <row r="131" s="51" customFormat="1" ht="13.5" customHeight="1" x14ac:dyDescent="0.2"/>
    <row r="132" s="51" customFormat="1" ht="13.5" customHeight="1" x14ac:dyDescent="0.2"/>
    <row r="133" s="51" customFormat="1" ht="13.5" customHeight="1" x14ac:dyDescent="0.2"/>
    <row r="134" s="51" customFormat="1" ht="13.5" customHeight="1" x14ac:dyDescent="0.2"/>
    <row r="135" s="51" customFormat="1" ht="13.5" customHeight="1" x14ac:dyDescent="0.2"/>
    <row r="136" s="51" customFormat="1" ht="13.5" customHeight="1" x14ac:dyDescent="0.2"/>
    <row r="137" s="51" customFormat="1" ht="13.5" customHeight="1" x14ac:dyDescent="0.2"/>
    <row r="138" s="51" customFormat="1" ht="13.5" customHeight="1" x14ac:dyDescent="0.2"/>
    <row r="139" s="51" customFormat="1" ht="13.5" customHeight="1" x14ac:dyDescent="0.2"/>
    <row r="140" s="51" customFormat="1" ht="13.5" customHeight="1" x14ac:dyDescent="0.2"/>
    <row r="141" s="51" customFormat="1" ht="13.5" customHeight="1" x14ac:dyDescent="0.2"/>
    <row r="142" s="51" customFormat="1" ht="13.5" customHeight="1" x14ac:dyDescent="0.2"/>
    <row r="143" s="51" customFormat="1" ht="13.5" customHeight="1" x14ac:dyDescent="0.2"/>
    <row r="144" s="51" customFormat="1" ht="13.5" customHeight="1" x14ac:dyDescent="0.2"/>
    <row r="145" s="51" customFormat="1" ht="13.5" customHeight="1" x14ac:dyDescent="0.2"/>
    <row r="146" s="51" customFormat="1" ht="13.5" customHeight="1" x14ac:dyDescent="0.2"/>
    <row r="147" s="51" customFormat="1" ht="13.5" customHeight="1" x14ac:dyDescent="0.2"/>
    <row r="148" s="51" customFormat="1" ht="13.5" customHeight="1" x14ac:dyDescent="0.2"/>
    <row r="149" s="51" customFormat="1" ht="13.5" customHeight="1" x14ac:dyDescent="0.2"/>
    <row r="150" s="51" customFormat="1" ht="13.5" customHeight="1" x14ac:dyDescent="0.2"/>
    <row r="151" s="51" customFormat="1" ht="13.5" customHeight="1" x14ac:dyDescent="0.2"/>
    <row r="152" s="51" customFormat="1" ht="13.5" customHeight="1" x14ac:dyDescent="0.2"/>
    <row r="153" s="51" customFormat="1" ht="13.5" customHeight="1" x14ac:dyDescent="0.2"/>
    <row r="154" s="51" customFormat="1" ht="13.5" customHeight="1" x14ac:dyDescent="0.2"/>
    <row r="155" s="51" customFormat="1" ht="13.5" customHeight="1" x14ac:dyDescent="0.2"/>
    <row r="156" s="51" customFormat="1" ht="13.5" customHeight="1" x14ac:dyDescent="0.2"/>
    <row r="157" s="51" customFormat="1" ht="13.5" customHeight="1" x14ac:dyDescent="0.2"/>
    <row r="158" s="51" customFormat="1" ht="13.5" customHeight="1" x14ac:dyDescent="0.2"/>
    <row r="159" s="51" customFormat="1" ht="13.5" customHeight="1" x14ac:dyDescent="0.2"/>
    <row r="160" s="51" customFormat="1" ht="13.5" customHeight="1" x14ac:dyDescent="0.2"/>
    <row r="161" s="51" customFormat="1" ht="13.5" customHeight="1" x14ac:dyDescent="0.2"/>
    <row r="162" s="51" customFormat="1" ht="13.5" customHeight="1" x14ac:dyDescent="0.2"/>
    <row r="163" s="51" customFormat="1" ht="13.5" customHeight="1" x14ac:dyDescent="0.2"/>
    <row r="164" s="51" customFormat="1" ht="13.5" customHeight="1" x14ac:dyDescent="0.2"/>
    <row r="165" s="51" customFormat="1" ht="13.5" customHeight="1" x14ac:dyDescent="0.2"/>
    <row r="166" s="51" customFormat="1" ht="13.5" customHeight="1" x14ac:dyDescent="0.2"/>
    <row r="167" s="51" customFormat="1" ht="13.5" customHeight="1" x14ac:dyDescent="0.2"/>
    <row r="168" s="51" customFormat="1" ht="13.5" customHeight="1" x14ac:dyDescent="0.2"/>
    <row r="169" s="51" customFormat="1" ht="13.5" customHeight="1" x14ac:dyDescent="0.2"/>
    <row r="170" s="51" customFormat="1" ht="13.5" customHeight="1" x14ac:dyDescent="0.2"/>
    <row r="171" s="51" customFormat="1" ht="13.5" customHeight="1" x14ac:dyDescent="0.2"/>
    <row r="172" s="51" customFormat="1" ht="13.5" customHeight="1" x14ac:dyDescent="0.2"/>
    <row r="173" s="51" customFormat="1" ht="13.5" customHeight="1" x14ac:dyDescent="0.2"/>
    <row r="174" s="51" customFormat="1" ht="13.5" customHeight="1" x14ac:dyDescent="0.2"/>
    <row r="175" s="51" customFormat="1" ht="13.5" customHeight="1" x14ac:dyDescent="0.2"/>
    <row r="176" s="51" customFormat="1" ht="13.5" customHeight="1" x14ac:dyDescent="0.2"/>
    <row r="177" s="51" customFormat="1" ht="13.5" customHeight="1" x14ac:dyDescent="0.2"/>
    <row r="178" s="51" customFormat="1" ht="13.5" customHeight="1" x14ac:dyDescent="0.2"/>
    <row r="179" s="51" customFormat="1" ht="13.5" customHeight="1" x14ac:dyDescent="0.2"/>
    <row r="180" s="51" customFormat="1" ht="13.5" customHeight="1" x14ac:dyDescent="0.2"/>
    <row r="181" s="51" customFormat="1" ht="13.5" customHeight="1" x14ac:dyDescent="0.2"/>
    <row r="182" s="51" customFormat="1" ht="13.5" customHeight="1" x14ac:dyDescent="0.2"/>
    <row r="183" s="51" customFormat="1" ht="13.5" customHeight="1" x14ac:dyDescent="0.2"/>
    <row r="184" s="51" customFormat="1" ht="13.5" customHeight="1" x14ac:dyDescent="0.2"/>
    <row r="185" s="51" customFormat="1" ht="13.5" customHeight="1" x14ac:dyDescent="0.2"/>
    <row r="186" s="51" customFormat="1" ht="13.5" customHeight="1" x14ac:dyDescent="0.2"/>
    <row r="187" s="51" customFormat="1" ht="13.5" customHeight="1" x14ac:dyDescent="0.2"/>
    <row r="188" s="51" customFormat="1" ht="13.5" customHeight="1" x14ac:dyDescent="0.2"/>
    <row r="189" s="51" customFormat="1" ht="13.5" customHeight="1" x14ac:dyDescent="0.2"/>
    <row r="190" s="51" customFormat="1" ht="13.5" customHeight="1" x14ac:dyDescent="0.2"/>
    <row r="191" s="51" customFormat="1" ht="13.5" customHeight="1" x14ac:dyDescent="0.2"/>
    <row r="192" s="51" customFormat="1" ht="13.5" customHeight="1" x14ac:dyDescent="0.2"/>
    <row r="193" s="51" customFormat="1" ht="13.5" customHeight="1" x14ac:dyDescent="0.2"/>
    <row r="194" s="51" customFormat="1" ht="13.5" customHeight="1" x14ac:dyDescent="0.2"/>
    <row r="195" s="51" customFormat="1" ht="13.5" customHeight="1" x14ac:dyDescent="0.2"/>
    <row r="196" s="51" customFormat="1" ht="13.5" customHeight="1" x14ac:dyDescent="0.2"/>
    <row r="197" s="51" customFormat="1" ht="13.5" customHeight="1" x14ac:dyDescent="0.2"/>
    <row r="198" s="51" customFormat="1" ht="13.5" customHeight="1" x14ac:dyDescent="0.2"/>
    <row r="199" s="51" customFormat="1" ht="13.5" customHeight="1" x14ac:dyDescent="0.2"/>
    <row r="200" s="51" customFormat="1" ht="13.5" customHeight="1" x14ac:dyDescent="0.2"/>
    <row r="201" s="51" customFormat="1" ht="13.5" customHeight="1" x14ac:dyDescent="0.2"/>
    <row r="202" s="51" customFormat="1" ht="13.5" customHeight="1" x14ac:dyDescent="0.2"/>
    <row r="203" s="51" customFormat="1" ht="13.5" customHeight="1" x14ac:dyDescent="0.2"/>
    <row r="204" s="51" customFormat="1" ht="13.5" customHeight="1" x14ac:dyDescent="0.2"/>
    <row r="205" s="51" customFormat="1" ht="13.5" customHeight="1" x14ac:dyDescent="0.2"/>
    <row r="206" s="51" customFormat="1" ht="13.5" customHeight="1" x14ac:dyDescent="0.2"/>
    <row r="207" s="51" customFormat="1" ht="13.5" customHeight="1" x14ac:dyDescent="0.2"/>
    <row r="208" s="51" customFormat="1" ht="13.5" customHeight="1" x14ac:dyDescent="0.2"/>
    <row r="209" s="51" customFormat="1" ht="13.5" customHeight="1" x14ac:dyDescent="0.2"/>
    <row r="210" s="51" customFormat="1" ht="13.5" customHeight="1" x14ac:dyDescent="0.2"/>
    <row r="211" s="51" customFormat="1" ht="13.5" customHeight="1" x14ac:dyDescent="0.2"/>
    <row r="212" s="51" customFormat="1" ht="13.5" customHeight="1" x14ac:dyDescent="0.2"/>
    <row r="213" s="51" customFormat="1" ht="13.5" customHeight="1" x14ac:dyDescent="0.2"/>
    <row r="214" s="51" customFormat="1" ht="13.5" customHeight="1" x14ac:dyDescent="0.2"/>
    <row r="215" s="51" customFormat="1" ht="13.5" customHeight="1" x14ac:dyDescent="0.2"/>
    <row r="216" s="51" customFormat="1" ht="13.5" customHeight="1" x14ac:dyDescent="0.2"/>
    <row r="217" s="51" customFormat="1" ht="13.5" customHeight="1" x14ac:dyDescent="0.2"/>
    <row r="218" s="51" customFormat="1" ht="13.5" customHeight="1" x14ac:dyDescent="0.2"/>
    <row r="219" s="51" customFormat="1" ht="13.5" customHeight="1" x14ac:dyDescent="0.2"/>
    <row r="220" s="51" customFormat="1" ht="13.5" customHeight="1" x14ac:dyDescent="0.2"/>
    <row r="221" s="51" customFormat="1" ht="13.5" customHeight="1" x14ac:dyDescent="0.2"/>
    <row r="222" s="51" customFormat="1" ht="13.5" customHeight="1" x14ac:dyDescent="0.2"/>
    <row r="223" s="51" customFormat="1" ht="13.5" customHeight="1" x14ac:dyDescent="0.2"/>
    <row r="224" s="51" customFormat="1" ht="13.5" customHeight="1" x14ac:dyDescent="0.2"/>
    <row r="225" s="51" customFormat="1" ht="13.5" customHeight="1" x14ac:dyDescent="0.2"/>
    <row r="226" s="51" customFormat="1" ht="13.5" customHeight="1" x14ac:dyDescent="0.2"/>
    <row r="227" s="51" customFormat="1" ht="13.5" customHeight="1" x14ac:dyDescent="0.2"/>
    <row r="228" s="51" customFormat="1" ht="13.5" customHeight="1" x14ac:dyDescent="0.2"/>
    <row r="229" s="51" customFormat="1" ht="13.5" customHeight="1" x14ac:dyDescent="0.2"/>
    <row r="230" s="51" customFormat="1" ht="13.5" customHeight="1" x14ac:dyDescent="0.2"/>
    <row r="231" s="51" customFormat="1" ht="13.5" customHeight="1" x14ac:dyDescent="0.2"/>
    <row r="232" s="51" customFormat="1" ht="13.5" customHeight="1" x14ac:dyDescent="0.2"/>
    <row r="233" s="51" customFormat="1" ht="13.5" customHeight="1" x14ac:dyDescent="0.2"/>
    <row r="234" s="51" customFormat="1" ht="13.5" customHeight="1" x14ac:dyDescent="0.2"/>
    <row r="235" s="51" customFormat="1" ht="13.5" customHeight="1" x14ac:dyDescent="0.2"/>
    <row r="236" s="51" customFormat="1" ht="13.5" customHeight="1" x14ac:dyDescent="0.2"/>
    <row r="237" s="51" customFormat="1" ht="13.5" customHeight="1" x14ac:dyDescent="0.2"/>
    <row r="238" s="51" customFormat="1" ht="13.5" customHeight="1" x14ac:dyDescent="0.2"/>
    <row r="239" s="51" customFormat="1" ht="13.5" customHeight="1" x14ac:dyDescent="0.2"/>
    <row r="240" s="51" customFormat="1" ht="13.5" customHeight="1" x14ac:dyDescent="0.2"/>
    <row r="241" s="51" customFormat="1" ht="13.5" customHeight="1" x14ac:dyDescent="0.2"/>
    <row r="242" s="51" customFormat="1" ht="13.5" customHeight="1" x14ac:dyDescent="0.2"/>
    <row r="243" s="51" customFormat="1" ht="13.5" customHeight="1" x14ac:dyDescent="0.2"/>
    <row r="244" s="51" customFormat="1" ht="13.5" customHeight="1" x14ac:dyDescent="0.2"/>
    <row r="245" s="51" customFormat="1" ht="13.5" customHeight="1" x14ac:dyDescent="0.2"/>
    <row r="246" s="51" customFormat="1" ht="13.5" customHeight="1" x14ac:dyDescent="0.2"/>
    <row r="247" s="51" customFormat="1" ht="13.5" customHeight="1" x14ac:dyDescent="0.2"/>
    <row r="248" s="51" customFormat="1" ht="13.5" customHeight="1" x14ac:dyDescent="0.2"/>
    <row r="249" s="51" customFormat="1" ht="13.5" customHeight="1" x14ac:dyDescent="0.2"/>
    <row r="250" s="51" customFormat="1" ht="13.5" customHeight="1" x14ac:dyDescent="0.2"/>
    <row r="251" s="51" customFormat="1" ht="13.5" customHeight="1" x14ac:dyDescent="0.2"/>
    <row r="252" s="51" customFormat="1" ht="13.5" customHeight="1" x14ac:dyDescent="0.2"/>
    <row r="253" s="51" customFormat="1" ht="13.5" customHeight="1" x14ac:dyDescent="0.2"/>
    <row r="254" s="51" customFormat="1" ht="13.5" customHeight="1" x14ac:dyDescent="0.2"/>
    <row r="255" s="51" customFormat="1" ht="13.5" customHeight="1" x14ac:dyDescent="0.2"/>
    <row r="256" s="51" customFormat="1" ht="13.5" customHeight="1" x14ac:dyDescent="0.2"/>
    <row r="257" s="51" customFormat="1" ht="13.5" customHeight="1" x14ac:dyDescent="0.2"/>
    <row r="258" s="51" customFormat="1" ht="13.5" customHeight="1" x14ac:dyDescent="0.2"/>
    <row r="259" s="51" customFormat="1" ht="13.5" customHeight="1" x14ac:dyDescent="0.2"/>
    <row r="260" s="51" customFormat="1" ht="13.5" customHeight="1" x14ac:dyDescent="0.2"/>
    <row r="261" s="51" customFormat="1" ht="13.5" customHeight="1" x14ac:dyDescent="0.2"/>
    <row r="262" s="51" customFormat="1" ht="13.5" customHeight="1" x14ac:dyDescent="0.2"/>
    <row r="263" s="51" customFormat="1" ht="13.5" customHeight="1" x14ac:dyDescent="0.2"/>
    <row r="264" s="51" customFormat="1" ht="13.5" customHeight="1" x14ac:dyDescent="0.2"/>
    <row r="265" s="51" customFormat="1" ht="13.5" customHeight="1" x14ac:dyDescent="0.2"/>
    <row r="266" s="51" customFormat="1" ht="13.5" customHeight="1" x14ac:dyDescent="0.2"/>
    <row r="267" s="51" customFormat="1" ht="13.5" customHeight="1" x14ac:dyDescent="0.2"/>
    <row r="268" s="51" customFormat="1" ht="13.5" customHeight="1" x14ac:dyDescent="0.2"/>
    <row r="269" s="51" customFormat="1" ht="13.5" customHeight="1" x14ac:dyDescent="0.2"/>
    <row r="270" s="51" customFormat="1" ht="13.5" customHeight="1" x14ac:dyDescent="0.2"/>
    <row r="271" s="51" customFormat="1" ht="13.5" customHeight="1" x14ac:dyDescent="0.2"/>
    <row r="272" s="51" customFormat="1" ht="13.5" customHeight="1" x14ac:dyDescent="0.2"/>
    <row r="273" s="51" customFormat="1" ht="13.5" customHeight="1" x14ac:dyDescent="0.2"/>
    <row r="274" s="51" customFormat="1" ht="13.5" customHeight="1" x14ac:dyDescent="0.2"/>
    <row r="275" s="51" customFormat="1" ht="13.5" customHeight="1" x14ac:dyDescent="0.2"/>
    <row r="276" s="51" customFormat="1" ht="13.5" customHeight="1" x14ac:dyDescent="0.2"/>
    <row r="277" s="51" customFormat="1" ht="13.5" customHeight="1" x14ac:dyDescent="0.2"/>
    <row r="278" s="51" customFormat="1" ht="13.5" customHeight="1" x14ac:dyDescent="0.2"/>
    <row r="279" s="51" customFormat="1" ht="13.5" customHeight="1" x14ac:dyDescent="0.2"/>
    <row r="280" s="51" customFormat="1" ht="13.5" customHeight="1" x14ac:dyDescent="0.2"/>
    <row r="281" s="51" customFormat="1" ht="13.5" customHeight="1" x14ac:dyDescent="0.2"/>
    <row r="282" s="51" customFormat="1" ht="13.5" customHeight="1" x14ac:dyDescent="0.2"/>
    <row r="283" s="51" customFormat="1" ht="13.5" customHeight="1" x14ac:dyDescent="0.2"/>
    <row r="284" s="51" customFormat="1" ht="13.5" customHeight="1" x14ac:dyDescent="0.2"/>
    <row r="285" s="51" customFormat="1" ht="13.5" customHeight="1" x14ac:dyDescent="0.2"/>
    <row r="286" s="51" customFormat="1" ht="13.5" customHeight="1" x14ac:dyDescent="0.2"/>
    <row r="287" s="51" customFormat="1" ht="13.5" customHeight="1" x14ac:dyDescent="0.2"/>
    <row r="288" s="51" customFormat="1" ht="13.5" customHeight="1" x14ac:dyDescent="0.2"/>
    <row r="289" s="51" customFormat="1" ht="13.5" customHeight="1" x14ac:dyDescent="0.2"/>
    <row r="290" s="51" customFormat="1" ht="13.5" customHeight="1" x14ac:dyDescent="0.2"/>
    <row r="291" s="51" customFormat="1" ht="13.5" customHeight="1" x14ac:dyDescent="0.2"/>
    <row r="292" s="51" customFormat="1" ht="13.5" customHeight="1" x14ac:dyDescent="0.2"/>
    <row r="293" s="51" customFormat="1" ht="13.5" customHeight="1" x14ac:dyDescent="0.2"/>
    <row r="294" s="51" customFormat="1" ht="13.5" customHeight="1" x14ac:dyDescent="0.2"/>
    <row r="295" s="51" customFormat="1" ht="13.5" customHeight="1" x14ac:dyDescent="0.2"/>
    <row r="296" s="51" customFormat="1" ht="13.5" customHeight="1" x14ac:dyDescent="0.2"/>
    <row r="297" s="51" customFormat="1" ht="13.5" customHeight="1" x14ac:dyDescent="0.2"/>
    <row r="298" s="51" customFormat="1" ht="13.5" customHeight="1" x14ac:dyDescent="0.2"/>
    <row r="299" s="51" customFormat="1" ht="13.5" customHeight="1" x14ac:dyDescent="0.2"/>
    <row r="300" s="51" customFormat="1" ht="13.5" customHeight="1" x14ac:dyDescent="0.2"/>
    <row r="301" s="51" customFormat="1" ht="13.5" customHeight="1" x14ac:dyDescent="0.2"/>
    <row r="302" s="51" customFormat="1" ht="13.5" customHeight="1" x14ac:dyDescent="0.2"/>
    <row r="303" s="51" customFormat="1" ht="13.5" customHeight="1" x14ac:dyDescent="0.2"/>
    <row r="304" s="51" customFormat="1" ht="13.5" customHeight="1" x14ac:dyDescent="0.2"/>
    <row r="305" s="51" customFormat="1" ht="13.5" customHeight="1" x14ac:dyDescent="0.2"/>
    <row r="306" s="51" customFormat="1" ht="13.5" customHeight="1" x14ac:dyDescent="0.2"/>
    <row r="307" s="51" customFormat="1" ht="13.5" customHeight="1" x14ac:dyDescent="0.2"/>
    <row r="308" s="51" customFormat="1" ht="13.5" customHeight="1" x14ac:dyDescent="0.2"/>
    <row r="309" s="51" customFormat="1" ht="13.5" customHeight="1" x14ac:dyDescent="0.2"/>
    <row r="310" s="51" customFormat="1" ht="13.5" customHeight="1" x14ac:dyDescent="0.2"/>
    <row r="311" s="51" customFormat="1" ht="13.5" customHeight="1" x14ac:dyDescent="0.2"/>
    <row r="312" s="51" customFormat="1" ht="13.5" customHeight="1" x14ac:dyDescent="0.2"/>
    <row r="313" s="51" customFormat="1" ht="13.5" customHeight="1" x14ac:dyDescent="0.2"/>
    <row r="314" s="51" customFormat="1" ht="13.5" customHeight="1" x14ac:dyDescent="0.2"/>
    <row r="315" s="51" customFormat="1" ht="13.5" customHeight="1" x14ac:dyDescent="0.2"/>
    <row r="316" s="51" customFormat="1" ht="13.5" customHeight="1" x14ac:dyDescent="0.2"/>
    <row r="317" s="51" customFormat="1" ht="13.5" customHeight="1" x14ac:dyDescent="0.2"/>
    <row r="318" s="51" customFormat="1" ht="13.5" customHeight="1" x14ac:dyDescent="0.2"/>
    <row r="319" s="51" customFormat="1" ht="13.5" customHeight="1" x14ac:dyDescent="0.2"/>
    <row r="320" s="51" customFormat="1" ht="13.5" customHeight="1" x14ac:dyDescent="0.2"/>
    <row r="321" s="51" customFormat="1" ht="13.5" customHeight="1" x14ac:dyDescent="0.2"/>
    <row r="322" s="51" customFormat="1" ht="13.5" customHeight="1" x14ac:dyDescent="0.2"/>
    <row r="323" s="51" customFormat="1" ht="13.5" customHeight="1" x14ac:dyDescent="0.2"/>
    <row r="324" s="51" customFormat="1" ht="13.5" customHeight="1" x14ac:dyDescent="0.2"/>
    <row r="325" s="51" customFormat="1" ht="13.5" customHeight="1" x14ac:dyDescent="0.2"/>
    <row r="326" s="51" customFormat="1" ht="13.5" customHeight="1" x14ac:dyDescent="0.2"/>
    <row r="327" s="51" customFormat="1" ht="13.5" customHeight="1" x14ac:dyDescent="0.2"/>
    <row r="328" s="51" customFormat="1" ht="13.5" customHeight="1" x14ac:dyDescent="0.2"/>
    <row r="329" s="51" customFormat="1" ht="13.5" customHeight="1" x14ac:dyDescent="0.2"/>
    <row r="330" s="51" customFormat="1" ht="13.5" customHeight="1" x14ac:dyDescent="0.2"/>
    <row r="331" s="51" customFormat="1" ht="13.5" customHeight="1" x14ac:dyDescent="0.2"/>
    <row r="332" s="51" customFormat="1" ht="13.5" customHeight="1" x14ac:dyDescent="0.2"/>
    <row r="333" s="51" customFormat="1" ht="13.5" customHeight="1" x14ac:dyDescent="0.2"/>
    <row r="334" s="51" customFormat="1" ht="13.5" customHeight="1" x14ac:dyDescent="0.2"/>
    <row r="335" s="51" customFormat="1" ht="13.5" customHeight="1" x14ac:dyDescent="0.2"/>
    <row r="336" s="51" customFormat="1" ht="13.5" customHeight="1" x14ac:dyDescent="0.2"/>
    <row r="337" s="51" customFormat="1" ht="13.5" customHeight="1" x14ac:dyDescent="0.2"/>
    <row r="338" s="51" customFormat="1" ht="13.5" customHeight="1" x14ac:dyDescent="0.2"/>
    <row r="339" s="51" customFormat="1" ht="13.5" customHeight="1" x14ac:dyDescent="0.2"/>
    <row r="340" s="51" customFormat="1" ht="13.5" customHeight="1" x14ac:dyDescent="0.2"/>
    <row r="341" s="51" customFormat="1" ht="13.5" customHeight="1" x14ac:dyDescent="0.2"/>
    <row r="342" s="51" customFormat="1" ht="13.5" customHeight="1" x14ac:dyDescent="0.2"/>
    <row r="343" s="51" customFormat="1" ht="13.5" customHeight="1" x14ac:dyDescent="0.2"/>
    <row r="344" s="51" customFormat="1" ht="13.5" customHeight="1" x14ac:dyDescent="0.2"/>
    <row r="345" s="51" customFormat="1" ht="13.5" customHeight="1" x14ac:dyDescent="0.2"/>
    <row r="346" s="51" customFormat="1" ht="13.5" customHeight="1" x14ac:dyDescent="0.2"/>
    <row r="347" s="51" customFormat="1" ht="13.5" customHeight="1" x14ac:dyDescent="0.2"/>
    <row r="348" s="51" customFormat="1" ht="13.5" customHeight="1" x14ac:dyDescent="0.2"/>
    <row r="349" s="51" customFormat="1" ht="13.5" customHeight="1" x14ac:dyDescent="0.2"/>
    <row r="350" s="51" customFormat="1" ht="13.5" customHeight="1" x14ac:dyDescent="0.2"/>
    <row r="351" s="51" customFormat="1" ht="13.5" customHeight="1" x14ac:dyDescent="0.2"/>
    <row r="352" s="51" customFormat="1" ht="13.5" customHeight="1" x14ac:dyDescent="0.2"/>
    <row r="353" s="51" customFormat="1" ht="13.5" customHeight="1" x14ac:dyDescent="0.2"/>
    <row r="354" s="51" customFormat="1" ht="13.5" customHeight="1" x14ac:dyDescent="0.2"/>
    <row r="355" s="51" customFormat="1" ht="13.5" customHeight="1" x14ac:dyDescent="0.2"/>
    <row r="356" s="51" customFormat="1" ht="13.5" customHeight="1" x14ac:dyDescent="0.2"/>
    <row r="357" s="51" customFormat="1" ht="13.5" customHeight="1" x14ac:dyDescent="0.2"/>
    <row r="358" s="51" customFormat="1" ht="13.5" customHeight="1" x14ac:dyDescent="0.2"/>
    <row r="359" s="51" customFormat="1" ht="13.5" customHeight="1" x14ac:dyDescent="0.2"/>
    <row r="360" s="51" customFormat="1" ht="13.5" customHeight="1" x14ac:dyDescent="0.2"/>
    <row r="361" s="51" customFormat="1" ht="13.5" customHeight="1" x14ac:dyDescent="0.2"/>
    <row r="362" s="51" customFormat="1" ht="13.5" customHeight="1" x14ac:dyDescent="0.2"/>
    <row r="363" s="51" customFormat="1" ht="13.5" customHeight="1" x14ac:dyDescent="0.2"/>
    <row r="364" s="51" customFormat="1" ht="13.5" customHeight="1" x14ac:dyDescent="0.2"/>
    <row r="365" s="51" customFormat="1" ht="13.5" customHeight="1" x14ac:dyDescent="0.2"/>
    <row r="366" s="51" customFormat="1" ht="13.5" customHeight="1" x14ac:dyDescent="0.2"/>
    <row r="367" s="51" customFormat="1" ht="13.5" customHeight="1" x14ac:dyDescent="0.2"/>
    <row r="368" s="51" customFormat="1" ht="13.5" customHeight="1" x14ac:dyDescent="0.2"/>
    <row r="369" s="51" customFormat="1" ht="13.5" customHeight="1" x14ac:dyDescent="0.2"/>
    <row r="370" s="51" customFormat="1" ht="13.5" customHeight="1" x14ac:dyDescent="0.2"/>
    <row r="371" s="51" customFormat="1" ht="13.5" customHeight="1" x14ac:dyDescent="0.2"/>
    <row r="372" s="51" customFormat="1" ht="13.5" customHeight="1" x14ac:dyDescent="0.2"/>
    <row r="373" s="51" customFormat="1" ht="13.5" customHeight="1" x14ac:dyDescent="0.2"/>
    <row r="374" s="51" customFormat="1" ht="13.5" customHeight="1" x14ac:dyDescent="0.2"/>
    <row r="375" s="51" customFormat="1" ht="13.5" customHeight="1" x14ac:dyDescent="0.2"/>
    <row r="376" s="51" customFormat="1" ht="13.5" customHeight="1" x14ac:dyDescent="0.2"/>
    <row r="377" s="51" customFormat="1" ht="13.5" customHeight="1" x14ac:dyDescent="0.2"/>
    <row r="378" s="51" customFormat="1" ht="13.5" customHeight="1" x14ac:dyDescent="0.2"/>
    <row r="379" s="51" customFormat="1" ht="13.5" customHeight="1" x14ac:dyDescent="0.2"/>
    <row r="380" s="51" customFormat="1" ht="13.5" customHeight="1" x14ac:dyDescent="0.2"/>
    <row r="381" s="51" customFormat="1" ht="13.5" customHeight="1" x14ac:dyDescent="0.2"/>
    <row r="382" s="51" customFormat="1" ht="13.5" customHeight="1" x14ac:dyDescent="0.2"/>
    <row r="383" s="51" customFormat="1" ht="13.5" customHeight="1" x14ac:dyDescent="0.2"/>
    <row r="384" s="51" customFormat="1" ht="13.5" customHeight="1" x14ac:dyDescent="0.2"/>
    <row r="385" s="51" customFormat="1" ht="13.5" customHeight="1" x14ac:dyDescent="0.2"/>
    <row r="386" s="51" customFormat="1" ht="13.5" customHeight="1" x14ac:dyDescent="0.2"/>
    <row r="387" s="51" customFormat="1" ht="13.5" customHeight="1" x14ac:dyDescent="0.2"/>
    <row r="388" s="51" customFormat="1" ht="13.5" customHeight="1" x14ac:dyDescent="0.2"/>
    <row r="389" s="51" customFormat="1" ht="13.5" customHeight="1" x14ac:dyDescent="0.2"/>
    <row r="390" s="51" customFormat="1" ht="13.5" customHeight="1" x14ac:dyDescent="0.2"/>
    <row r="391" s="51" customFormat="1" ht="13.5" customHeight="1" x14ac:dyDescent="0.2"/>
    <row r="392" s="51" customFormat="1" ht="13.5" customHeight="1" x14ac:dyDescent="0.2"/>
    <row r="393" s="51" customFormat="1" ht="13.5" customHeight="1" x14ac:dyDescent="0.2"/>
    <row r="394" s="51" customFormat="1" ht="13.5" customHeight="1" x14ac:dyDescent="0.2"/>
    <row r="395" s="51" customFormat="1" ht="13.5" customHeight="1" x14ac:dyDescent="0.2"/>
    <row r="396" s="51" customFormat="1" ht="13.5" customHeight="1" x14ac:dyDescent="0.2"/>
    <row r="397" s="51" customFormat="1" ht="13.5" customHeight="1" x14ac:dyDescent="0.2"/>
    <row r="398" s="51" customFormat="1" ht="13.5" customHeight="1" x14ac:dyDescent="0.2"/>
    <row r="399" s="51" customFormat="1" ht="13.5" customHeight="1" x14ac:dyDescent="0.2"/>
    <row r="400" s="51" customFormat="1" ht="13.5" customHeight="1" x14ac:dyDescent="0.2"/>
    <row r="401" s="51" customFormat="1" ht="13.5" customHeight="1" x14ac:dyDescent="0.2"/>
    <row r="402" s="51" customFormat="1" ht="13.5" customHeight="1" x14ac:dyDescent="0.2"/>
    <row r="403" s="51" customFormat="1" ht="13.5" customHeight="1" x14ac:dyDescent="0.2"/>
    <row r="404" s="51" customFormat="1" ht="13.5" customHeight="1" x14ac:dyDescent="0.2"/>
    <row r="405" s="51" customFormat="1" ht="13.5" customHeight="1" x14ac:dyDescent="0.2"/>
    <row r="406" s="51" customFormat="1" ht="13.5" customHeight="1" x14ac:dyDescent="0.2"/>
    <row r="407" s="51" customFormat="1" ht="13.5" customHeight="1" x14ac:dyDescent="0.2"/>
    <row r="408" s="51" customFormat="1" ht="13.5" customHeight="1" x14ac:dyDescent="0.2"/>
    <row r="409" s="51" customFormat="1" ht="13.5" customHeight="1" x14ac:dyDescent="0.2"/>
    <row r="410" s="51" customFormat="1" ht="13.5" customHeight="1" x14ac:dyDescent="0.2"/>
    <row r="411" s="51" customFormat="1" ht="13.5" customHeight="1" x14ac:dyDescent="0.2"/>
    <row r="412" s="51" customFormat="1" ht="13.5" customHeight="1" x14ac:dyDescent="0.2"/>
    <row r="413" s="51" customFormat="1" ht="13.5" customHeight="1" x14ac:dyDescent="0.2"/>
    <row r="414" s="51" customFormat="1" ht="13.5" customHeight="1" x14ac:dyDescent="0.2"/>
    <row r="415" s="51" customFormat="1" ht="13.5" customHeight="1" x14ac:dyDescent="0.2"/>
    <row r="416" s="51" customFormat="1" ht="13.5" customHeight="1" x14ac:dyDescent="0.2"/>
    <row r="417" s="51" customFormat="1" ht="13.5" customHeight="1" x14ac:dyDescent="0.2"/>
    <row r="418" s="51" customFormat="1" ht="13.5" customHeight="1" x14ac:dyDescent="0.2"/>
    <row r="419" s="51" customFormat="1" ht="13.5" customHeight="1" x14ac:dyDescent="0.2"/>
    <row r="420" s="51" customFormat="1" ht="13.5" customHeight="1" x14ac:dyDescent="0.2"/>
    <row r="421" s="51" customFormat="1" ht="13.5" customHeight="1" x14ac:dyDescent="0.2"/>
    <row r="422" s="51" customFormat="1" ht="13.5" customHeight="1" x14ac:dyDescent="0.2"/>
    <row r="423" s="51" customFormat="1" ht="13.5" customHeight="1" x14ac:dyDescent="0.2"/>
    <row r="424" s="51" customFormat="1" ht="13.5" customHeight="1" x14ac:dyDescent="0.2"/>
    <row r="425" s="51" customFormat="1" ht="13.5" customHeight="1" x14ac:dyDescent="0.2"/>
    <row r="426" s="51" customFormat="1" ht="13.5" customHeight="1" x14ac:dyDescent="0.2"/>
    <row r="427" s="51" customFormat="1" ht="13.5" customHeight="1" x14ac:dyDescent="0.2"/>
    <row r="428" s="51" customFormat="1" ht="13.5" customHeight="1" x14ac:dyDescent="0.2"/>
    <row r="429" s="51" customFormat="1" ht="13.5" customHeight="1" x14ac:dyDescent="0.2"/>
    <row r="430" s="51" customFormat="1" ht="13.5" customHeight="1" x14ac:dyDescent="0.2"/>
    <row r="431" s="51" customFormat="1" ht="13.5" customHeight="1" x14ac:dyDescent="0.2"/>
    <row r="432" s="51" customFormat="1" ht="13.5" customHeight="1" x14ac:dyDescent="0.2"/>
    <row r="433" s="51" customFormat="1" ht="13.5" customHeight="1" x14ac:dyDescent="0.2"/>
    <row r="434" s="51" customFormat="1" ht="13.5" customHeight="1" x14ac:dyDescent="0.2"/>
    <row r="435" s="51" customFormat="1" ht="13.5" customHeight="1" x14ac:dyDescent="0.2"/>
    <row r="436" s="51" customFormat="1" ht="13.5" customHeight="1" x14ac:dyDescent="0.2"/>
    <row r="437" s="51" customFormat="1" ht="13.5" customHeight="1" x14ac:dyDescent="0.2"/>
    <row r="438" s="51" customFormat="1" ht="13.5" customHeight="1" x14ac:dyDescent="0.2"/>
    <row r="439" s="51" customFormat="1" ht="13.5" customHeight="1" x14ac:dyDescent="0.2"/>
    <row r="440" s="51" customFormat="1" ht="13.5" customHeight="1" x14ac:dyDescent="0.2"/>
    <row r="441" s="51" customFormat="1" ht="13.5" customHeight="1" x14ac:dyDescent="0.2"/>
    <row r="442" s="51" customFormat="1" ht="13.5" customHeight="1" x14ac:dyDescent="0.2"/>
    <row r="443" s="51" customFormat="1" ht="13.5" customHeight="1" x14ac:dyDescent="0.2"/>
    <row r="444" s="51" customFormat="1" ht="13.5" customHeight="1" x14ac:dyDescent="0.2"/>
    <row r="445" s="51" customFormat="1" ht="13.5" customHeight="1" x14ac:dyDescent="0.2"/>
    <row r="446" s="51" customFormat="1" ht="13.5" customHeight="1" x14ac:dyDescent="0.2"/>
    <row r="447" s="51" customFormat="1" ht="13.5" customHeight="1" x14ac:dyDescent="0.2"/>
    <row r="448" s="51" customFormat="1" ht="13.5" customHeight="1" x14ac:dyDescent="0.2"/>
    <row r="449" s="51" customFormat="1" ht="13.5" customHeight="1" x14ac:dyDescent="0.2"/>
    <row r="450" s="51" customFormat="1" ht="13.5" customHeight="1" x14ac:dyDescent="0.2"/>
    <row r="451" s="51" customFormat="1" ht="13.5" customHeight="1" x14ac:dyDescent="0.2"/>
    <row r="452" s="51" customFormat="1" ht="13.5" customHeight="1" x14ac:dyDescent="0.2"/>
    <row r="453" s="51" customFormat="1" ht="13.5" customHeight="1" x14ac:dyDescent="0.2"/>
    <row r="454" s="51" customFormat="1" ht="13.5" customHeight="1" x14ac:dyDescent="0.2"/>
    <row r="455" s="51" customFormat="1" ht="13.5" customHeight="1" x14ac:dyDescent="0.2"/>
    <row r="456" s="51" customFormat="1" ht="13.5" customHeight="1" x14ac:dyDescent="0.2"/>
    <row r="457" s="51" customFormat="1" ht="13.5" customHeight="1" x14ac:dyDescent="0.2"/>
    <row r="458" s="51" customFormat="1" ht="13.5" customHeight="1" x14ac:dyDescent="0.2"/>
    <row r="459" s="51" customFormat="1" ht="13.5" customHeight="1" x14ac:dyDescent="0.2"/>
    <row r="460" s="51" customFormat="1" ht="13.5" customHeight="1" x14ac:dyDescent="0.2"/>
    <row r="461" s="51" customFormat="1" ht="13.5" customHeight="1" x14ac:dyDescent="0.2"/>
    <row r="462" s="51" customFormat="1" ht="13.5" customHeight="1" x14ac:dyDescent="0.2"/>
    <row r="463" s="51" customFormat="1" ht="13.5" customHeight="1" x14ac:dyDescent="0.2"/>
    <row r="464" s="51" customFormat="1" ht="13.5" customHeight="1" x14ac:dyDescent="0.2"/>
    <row r="465" s="51" customFormat="1" ht="13.5" customHeight="1" x14ac:dyDescent="0.2"/>
    <row r="466" s="51" customFormat="1" ht="13.5" customHeight="1" x14ac:dyDescent="0.2"/>
    <row r="467" s="51" customFormat="1" ht="13.5" customHeight="1" x14ac:dyDescent="0.2"/>
    <row r="468" s="51" customFormat="1" ht="13.5" customHeight="1" x14ac:dyDescent="0.2"/>
    <row r="469" s="51" customFormat="1" ht="13.5" customHeight="1" x14ac:dyDescent="0.2"/>
    <row r="470" s="51" customFormat="1" ht="13.5" customHeight="1" x14ac:dyDescent="0.2"/>
    <row r="471" s="51" customFormat="1" ht="13.5" customHeight="1" x14ac:dyDescent="0.2"/>
    <row r="472" s="51" customFormat="1" ht="13.5" customHeight="1" x14ac:dyDescent="0.2"/>
    <row r="473" s="51" customFormat="1" ht="13.5" customHeight="1" x14ac:dyDescent="0.2"/>
    <row r="474" s="51" customFormat="1" ht="13.5" customHeight="1" x14ac:dyDescent="0.2"/>
    <row r="475" s="51" customFormat="1" ht="13.5" customHeight="1" x14ac:dyDescent="0.2"/>
    <row r="476" s="51" customFormat="1" ht="13.5" customHeight="1" x14ac:dyDescent="0.2"/>
    <row r="477" s="51" customFormat="1" ht="13.5" customHeight="1" x14ac:dyDescent="0.2"/>
    <row r="478" s="51" customFormat="1" ht="13.5" customHeight="1" x14ac:dyDescent="0.2"/>
    <row r="479" s="51" customFormat="1" ht="13.5" customHeight="1" x14ac:dyDescent="0.2"/>
    <row r="480" s="51" customFormat="1" ht="13.5" customHeight="1" x14ac:dyDescent="0.2"/>
    <row r="481" s="51" customFormat="1" ht="13.5" customHeight="1" x14ac:dyDescent="0.2"/>
    <row r="482" s="51" customFormat="1" ht="13.5" customHeight="1" x14ac:dyDescent="0.2"/>
    <row r="483" s="51" customFormat="1" ht="13.5" customHeight="1" x14ac:dyDescent="0.2"/>
    <row r="484" s="51" customFormat="1" ht="13.5" customHeight="1" x14ac:dyDescent="0.2"/>
    <row r="485" s="51" customFormat="1" ht="13.5" customHeight="1" x14ac:dyDescent="0.2"/>
    <row r="486" s="51" customFormat="1" ht="13.5" customHeight="1" x14ac:dyDescent="0.2"/>
    <row r="487" s="51" customFormat="1" ht="13.5" customHeight="1" x14ac:dyDescent="0.2"/>
    <row r="488" s="51" customFormat="1" ht="13.5" customHeight="1" x14ac:dyDescent="0.2"/>
    <row r="489" s="51" customFormat="1" ht="13.5" customHeight="1" x14ac:dyDescent="0.2"/>
    <row r="490" s="51" customFormat="1" ht="13.5" customHeight="1" x14ac:dyDescent="0.2"/>
    <row r="491" s="51" customFormat="1" ht="13.5" customHeight="1" x14ac:dyDescent="0.2"/>
    <row r="492" s="51" customFormat="1" ht="13.5" customHeight="1" x14ac:dyDescent="0.2"/>
    <row r="493" s="51" customFormat="1" ht="13.5" customHeight="1" x14ac:dyDescent="0.2"/>
    <row r="494" s="51" customFormat="1" ht="13.5" customHeight="1" x14ac:dyDescent="0.2"/>
    <row r="495" s="51" customFormat="1" ht="13.5" customHeight="1" x14ac:dyDescent="0.2"/>
    <row r="496" s="51" customFormat="1" ht="13.5" customHeight="1" x14ac:dyDescent="0.2"/>
    <row r="497" s="51" customFormat="1" ht="13.5" customHeight="1" x14ac:dyDescent="0.2"/>
    <row r="498" s="51" customFormat="1" ht="13.5" customHeight="1" x14ac:dyDescent="0.2"/>
    <row r="499" s="51" customFormat="1" ht="13.5" customHeight="1" x14ac:dyDescent="0.2"/>
    <row r="500" s="51" customFormat="1" ht="13.5" customHeight="1" x14ac:dyDescent="0.2"/>
    <row r="501" s="51" customFormat="1" ht="13.5" customHeight="1" x14ac:dyDescent="0.2"/>
    <row r="502" s="51" customFormat="1" ht="13.5" customHeight="1" x14ac:dyDescent="0.2"/>
    <row r="503" s="51" customFormat="1" ht="13.5" customHeight="1" x14ac:dyDescent="0.2"/>
    <row r="504" s="51" customFormat="1" ht="13.5" customHeight="1" x14ac:dyDescent="0.2"/>
    <row r="505" s="51" customFormat="1" ht="13.5" customHeight="1" x14ac:dyDescent="0.2"/>
    <row r="506" s="51" customFormat="1" ht="13.5" customHeight="1" x14ac:dyDescent="0.2"/>
    <row r="507" s="51" customFormat="1" ht="13.5" customHeight="1" x14ac:dyDescent="0.2"/>
    <row r="508" s="51" customFormat="1" ht="13.5" customHeight="1" x14ac:dyDescent="0.2"/>
    <row r="509" s="51" customFormat="1" ht="13.5" customHeight="1" x14ac:dyDescent="0.2"/>
    <row r="510" s="51" customFormat="1" ht="13.5" customHeight="1" x14ac:dyDescent="0.2"/>
    <row r="511" s="51" customFormat="1" ht="13.5" customHeight="1" x14ac:dyDescent="0.2"/>
    <row r="512" s="51" customFormat="1" ht="13.5" customHeight="1" x14ac:dyDescent="0.2"/>
    <row r="513" s="51" customFormat="1" ht="13.5" customHeight="1" x14ac:dyDescent="0.2"/>
    <row r="514" s="51" customFormat="1" ht="13.5" customHeight="1" x14ac:dyDescent="0.2"/>
    <row r="515" s="51" customFormat="1" ht="13.5" customHeight="1" x14ac:dyDescent="0.2"/>
    <row r="516" s="51" customFormat="1" ht="13.5" customHeight="1" x14ac:dyDescent="0.2"/>
    <row r="517" s="51" customFormat="1" ht="13.5" customHeight="1" x14ac:dyDescent="0.2"/>
    <row r="518" s="51" customFormat="1" ht="13.5" customHeight="1" x14ac:dyDescent="0.2"/>
    <row r="519" s="51" customFormat="1" ht="13.5" customHeight="1" x14ac:dyDescent="0.2"/>
    <row r="520" s="51" customFormat="1" ht="13.5" customHeight="1" x14ac:dyDescent="0.2"/>
    <row r="521" s="51" customFormat="1" ht="13.5" customHeight="1" x14ac:dyDescent="0.2"/>
    <row r="522" s="51" customFormat="1" ht="13.5" customHeight="1" x14ac:dyDescent="0.2"/>
    <row r="523" s="51" customFormat="1" ht="13.5" customHeight="1" x14ac:dyDescent="0.2"/>
    <row r="524" s="51" customFormat="1" ht="13.5" customHeight="1" x14ac:dyDescent="0.2"/>
    <row r="525" s="51" customFormat="1" ht="13.5" customHeight="1" x14ac:dyDescent="0.2"/>
    <row r="526" s="51" customFormat="1" ht="13.5" customHeight="1" x14ac:dyDescent="0.2"/>
    <row r="527" s="51" customFormat="1" ht="13.5" customHeight="1" x14ac:dyDescent="0.2"/>
    <row r="528" s="51" customFormat="1" ht="13.5" customHeight="1" x14ac:dyDescent="0.2"/>
    <row r="529" s="51" customFormat="1" ht="13.5" customHeight="1" x14ac:dyDescent="0.2"/>
    <row r="530" s="51" customFormat="1" ht="13.5" customHeight="1" x14ac:dyDescent="0.2"/>
    <row r="531" s="51" customFormat="1" ht="13.5" customHeight="1" x14ac:dyDescent="0.2"/>
    <row r="532" s="51" customFormat="1" ht="13.5" customHeight="1" x14ac:dyDescent="0.2"/>
    <row r="533" s="51" customFormat="1" ht="13.5" customHeight="1" x14ac:dyDescent="0.2"/>
    <row r="534" s="51" customFormat="1" ht="13.5" customHeight="1" x14ac:dyDescent="0.2"/>
    <row r="535" s="51" customFormat="1" ht="13.5" customHeight="1" x14ac:dyDescent="0.2"/>
    <row r="536" s="51" customFormat="1" ht="13.5" customHeight="1" x14ac:dyDescent="0.2"/>
    <row r="537" s="51" customFormat="1" ht="13.5" customHeight="1" x14ac:dyDescent="0.2"/>
    <row r="538" s="51" customFormat="1" ht="13.5" customHeight="1" x14ac:dyDescent="0.2"/>
    <row r="539" s="51" customFormat="1" ht="13.5" customHeight="1" x14ac:dyDescent="0.2"/>
    <row r="540" s="51" customFormat="1" ht="13.5" customHeight="1" x14ac:dyDescent="0.2"/>
    <row r="541" s="51" customFormat="1" ht="13.5" customHeight="1" x14ac:dyDescent="0.2"/>
    <row r="542" s="51" customFormat="1" ht="13.5" customHeight="1" x14ac:dyDescent="0.2"/>
    <row r="543" s="51" customFormat="1" ht="13.5" customHeight="1" x14ac:dyDescent="0.2"/>
    <row r="544" s="51" customFormat="1" ht="13.5" customHeight="1" x14ac:dyDescent="0.2"/>
    <row r="545" s="51" customFormat="1" ht="13.5" customHeight="1" x14ac:dyDescent="0.2"/>
    <row r="546" s="51" customFormat="1" ht="13.5" customHeight="1" x14ac:dyDescent="0.2"/>
    <row r="547" s="51" customFormat="1" ht="13.5" customHeight="1" x14ac:dyDescent="0.2"/>
    <row r="548" s="51" customFormat="1" ht="13.5" customHeight="1" x14ac:dyDescent="0.2"/>
    <row r="549" s="51" customFormat="1" ht="13.5" customHeight="1" x14ac:dyDescent="0.2"/>
    <row r="550" s="51" customFormat="1" ht="13.5" customHeight="1" x14ac:dyDescent="0.2"/>
    <row r="551" s="51" customFormat="1" ht="13.5" customHeight="1" x14ac:dyDescent="0.2"/>
    <row r="552" s="51" customFormat="1" ht="13.5" customHeight="1" x14ac:dyDescent="0.2"/>
    <row r="553" s="51" customFormat="1" ht="13.5" customHeight="1" x14ac:dyDescent="0.2"/>
    <row r="554" s="51" customFormat="1" ht="13.5" customHeight="1" x14ac:dyDescent="0.2"/>
    <row r="555" s="51" customFormat="1" ht="13.5" customHeight="1" x14ac:dyDescent="0.2"/>
    <row r="556" s="51" customFormat="1" ht="13.5" customHeight="1" x14ac:dyDescent="0.2"/>
    <row r="557" s="51" customFormat="1" ht="13.5" customHeight="1" x14ac:dyDescent="0.2"/>
    <row r="558" s="51" customFormat="1" ht="13.5" customHeight="1" x14ac:dyDescent="0.2"/>
    <row r="559" s="51" customFormat="1" ht="13.5" customHeight="1" x14ac:dyDescent="0.2"/>
    <row r="560" s="51" customFormat="1" ht="13.5" customHeight="1" x14ac:dyDescent="0.2"/>
    <row r="561" s="51" customFormat="1" ht="13.5" customHeight="1" x14ac:dyDescent="0.2"/>
    <row r="562" s="51" customFormat="1" ht="13.5" customHeight="1" x14ac:dyDescent="0.2"/>
    <row r="563" s="51" customFormat="1" ht="13.5" customHeight="1" x14ac:dyDescent="0.2"/>
    <row r="564" s="51" customFormat="1" ht="13.5" customHeight="1" x14ac:dyDescent="0.2"/>
    <row r="565" s="51" customFormat="1" ht="13.5" customHeight="1" x14ac:dyDescent="0.2"/>
    <row r="566" s="51" customFormat="1" ht="13.5" customHeight="1" x14ac:dyDescent="0.2"/>
    <row r="567" s="51" customFormat="1" ht="13.5" customHeight="1" x14ac:dyDescent="0.2"/>
    <row r="568" s="51" customFormat="1" ht="13.5" customHeight="1" x14ac:dyDescent="0.2"/>
    <row r="569" s="51" customFormat="1" ht="13.5" customHeight="1" x14ac:dyDescent="0.2"/>
    <row r="570" s="51" customFormat="1" ht="13.5" customHeight="1" x14ac:dyDescent="0.2"/>
    <row r="571" s="51" customFormat="1" ht="13.5" customHeight="1" x14ac:dyDescent="0.2"/>
    <row r="572" s="51" customFormat="1" ht="13.5" customHeight="1" x14ac:dyDescent="0.2"/>
    <row r="573" s="51" customFormat="1" ht="13.5" customHeight="1" x14ac:dyDescent="0.2"/>
    <row r="574" s="51" customFormat="1" ht="13.5" customHeight="1" x14ac:dyDescent="0.2"/>
    <row r="575" s="51" customFormat="1" ht="13.5" customHeight="1" x14ac:dyDescent="0.2"/>
    <row r="576" s="51" customFormat="1" ht="13.5" customHeight="1" x14ac:dyDescent="0.2"/>
    <row r="577" s="51" customFormat="1" ht="13.5" customHeight="1" x14ac:dyDescent="0.2"/>
    <row r="578" s="51" customFormat="1" ht="13.5" customHeight="1" x14ac:dyDescent="0.2"/>
    <row r="579" s="51" customFormat="1" ht="13.5" customHeight="1" x14ac:dyDescent="0.2"/>
    <row r="580" s="51" customFormat="1" ht="13.5" customHeight="1" x14ac:dyDescent="0.2"/>
    <row r="581" s="51" customFormat="1" ht="13.5" customHeight="1" x14ac:dyDescent="0.2"/>
    <row r="582" s="51" customFormat="1" ht="13.5" customHeight="1" x14ac:dyDescent="0.2"/>
    <row r="583" s="51" customFormat="1" ht="13.5" customHeight="1" x14ac:dyDescent="0.2"/>
    <row r="584" s="51" customFormat="1" ht="13.5" customHeight="1" x14ac:dyDescent="0.2"/>
    <row r="585" s="51" customFormat="1" ht="13.5" customHeight="1" x14ac:dyDescent="0.2"/>
    <row r="586" s="51" customFormat="1" ht="13.5" customHeight="1" x14ac:dyDescent="0.2"/>
    <row r="587" s="51" customFormat="1" ht="13.5" customHeight="1" x14ac:dyDescent="0.2"/>
    <row r="588" s="51" customFormat="1" ht="13.5" customHeight="1" x14ac:dyDescent="0.2"/>
    <row r="589" s="51" customFormat="1" ht="13.5" customHeight="1" x14ac:dyDescent="0.2"/>
    <row r="590" s="51" customFormat="1" ht="13.5" customHeight="1" x14ac:dyDescent="0.2"/>
    <row r="591" s="51" customFormat="1" ht="13.5" customHeight="1" x14ac:dyDescent="0.2"/>
    <row r="592" s="51" customFormat="1" ht="13.5" customHeight="1" x14ac:dyDescent="0.2"/>
    <row r="593" s="51" customFormat="1" ht="13.5" customHeight="1" x14ac:dyDescent="0.2"/>
    <row r="594" s="51" customFormat="1" ht="13.5" customHeight="1" x14ac:dyDescent="0.2"/>
    <row r="595" s="51" customFormat="1" ht="13.5" customHeight="1" x14ac:dyDescent="0.2"/>
    <row r="596" s="51" customFormat="1" ht="13.5" customHeight="1" x14ac:dyDescent="0.2"/>
    <row r="597" s="51" customFormat="1" ht="13.5" customHeight="1" x14ac:dyDescent="0.2"/>
    <row r="598" s="51" customFormat="1" ht="13.5" customHeight="1" x14ac:dyDescent="0.2"/>
    <row r="599" s="51" customFormat="1" ht="13.5" customHeight="1" x14ac:dyDescent="0.2"/>
    <row r="600" s="51" customFormat="1" ht="13.5" customHeight="1" x14ac:dyDescent="0.2"/>
    <row r="601" s="51" customFormat="1" ht="13.5" customHeight="1" x14ac:dyDescent="0.2"/>
    <row r="602" s="51" customFormat="1" ht="13.5" customHeight="1" x14ac:dyDescent="0.2"/>
    <row r="603" s="51" customFormat="1" ht="13.5" customHeight="1" x14ac:dyDescent="0.2"/>
    <row r="604" s="51" customFormat="1" ht="13.5" customHeight="1" x14ac:dyDescent="0.2"/>
    <row r="605" s="51" customFormat="1" ht="13.5" customHeight="1" x14ac:dyDescent="0.2"/>
    <row r="606" s="51" customFormat="1" ht="13.5" customHeight="1" x14ac:dyDescent="0.2"/>
    <row r="607" s="51" customFormat="1" ht="13.5" customHeight="1" x14ac:dyDescent="0.2"/>
    <row r="608" s="51" customFormat="1" ht="13.5" customHeight="1" x14ac:dyDescent="0.2"/>
    <row r="609" s="51" customFormat="1" ht="13.5" customHeight="1" x14ac:dyDescent="0.2"/>
    <row r="610" s="51" customFormat="1" ht="13.5" customHeight="1" x14ac:dyDescent="0.2"/>
    <row r="611" s="51" customFormat="1" ht="13.5" customHeight="1" x14ac:dyDescent="0.2"/>
    <row r="612" s="51" customFormat="1" ht="13.5" customHeight="1" x14ac:dyDescent="0.2"/>
    <row r="613" s="51" customFormat="1" ht="13.5" customHeight="1" x14ac:dyDescent="0.2"/>
    <row r="614" s="51" customFormat="1" ht="13.5" customHeight="1" x14ac:dyDescent="0.2"/>
    <row r="615" s="51" customFormat="1" ht="13.5" customHeight="1" x14ac:dyDescent="0.2"/>
    <row r="616" s="51" customFormat="1" ht="13.5" customHeight="1" x14ac:dyDescent="0.2"/>
    <row r="617" s="51" customFormat="1" ht="13.5" customHeight="1" x14ac:dyDescent="0.2"/>
    <row r="618" s="51" customFormat="1" ht="13.5" customHeight="1" x14ac:dyDescent="0.2"/>
    <row r="619" s="51" customFormat="1" ht="13.5" customHeight="1" x14ac:dyDescent="0.2"/>
    <row r="620" s="51" customFormat="1" ht="13.5" customHeight="1" x14ac:dyDescent="0.2"/>
    <row r="621" s="51" customFormat="1" ht="13.5" customHeight="1" x14ac:dyDescent="0.2"/>
    <row r="622" s="51" customFormat="1" ht="13.5" customHeight="1" x14ac:dyDescent="0.2"/>
    <row r="623" s="51" customFormat="1" ht="13.5" customHeight="1" x14ac:dyDescent="0.2"/>
    <row r="624" s="51" customFormat="1" ht="13.5" customHeight="1" x14ac:dyDescent="0.2"/>
    <row r="625" s="51" customFormat="1" ht="13.5" customHeight="1" x14ac:dyDescent="0.2"/>
    <row r="626" s="51" customFormat="1" ht="13.5" customHeight="1" x14ac:dyDescent="0.2"/>
    <row r="627" s="51" customFormat="1" ht="13.5" customHeight="1" x14ac:dyDescent="0.2"/>
    <row r="628" s="51" customFormat="1" ht="13.5" customHeight="1" x14ac:dyDescent="0.2"/>
    <row r="629" s="51" customFormat="1" ht="13.5" customHeight="1" x14ac:dyDescent="0.2"/>
    <row r="630" s="51" customFormat="1" ht="13.5" customHeight="1" x14ac:dyDescent="0.2"/>
    <row r="631" s="51" customFormat="1" ht="13.5" customHeight="1" x14ac:dyDescent="0.2"/>
    <row r="632" s="51" customFormat="1" ht="13.5" customHeight="1" x14ac:dyDescent="0.2"/>
    <row r="633" s="51" customFormat="1" ht="13.5" customHeight="1" x14ac:dyDescent="0.2"/>
    <row r="634" s="51" customFormat="1" ht="13.5" customHeight="1" x14ac:dyDescent="0.2"/>
    <row r="635" s="51" customFormat="1" ht="13.5" customHeight="1" x14ac:dyDescent="0.2"/>
    <row r="636" s="51" customFormat="1" ht="13.5" customHeight="1" x14ac:dyDescent="0.2"/>
    <row r="637" s="51" customFormat="1" ht="13.5" customHeight="1" x14ac:dyDescent="0.2"/>
    <row r="638" s="51" customFormat="1" ht="13.5" customHeight="1" x14ac:dyDescent="0.2"/>
    <row r="639" s="51" customFormat="1" ht="13.5" customHeight="1" x14ac:dyDescent="0.2"/>
    <row r="640" s="51" customFormat="1" ht="13.5" customHeight="1" x14ac:dyDescent="0.2"/>
    <row r="641" s="51" customFormat="1" ht="13.5" customHeight="1" x14ac:dyDescent="0.2"/>
    <row r="642" s="51" customFormat="1" ht="13.5" customHeight="1" x14ac:dyDescent="0.2"/>
    <row r="643" s="51" customFormat="1" ht="13.5" customHeight="1" x14ac:dyDescent="0.2"/>
    <row r="644" s="51" customFormat="1" ht="13.5" customHeight="1" x14ac:dyDescent="0.2"/>
    <row r="645" s="51" customFormat="1" ht="13.5" customHeight="1" x14ac:dyDescent="0.2"/>
    <row r="646" s="51" customFormat="1" ht="13.5" customHeight="1" x14ac:dyDescent="0.2"/>
    <row r="647" s="51" customFormat="1" ht="13.5" customHeight="1" x14ac:dyDescent="0.2"/>
    <row r="648" s="51" customFormat="1" ht="13.5" customHeight="1" x14ac:dyDescent="0.2"/>
    <row r="649" s="51" customFormat="1" ht="13.5" customHeight="1" x14ac:dyDescent="0.2"/>
    <row r="650" s="51" customFormat="1" ht="13.5" customHeight="1" x14ac:dyDescent="0.2"/>
    <row r="651" s="51" customFormat="1" ht="13.5" customHeight="1" x14ac:dyDescent="0.2"/>
    <row r="652" s="51" customFormat="1" ht="13.5" customHeight="1" x14ac:dyDescent="0.2"/>
    <row r="653" s="51" customFormat="1" ht="13.5" customHeight="1" x14ac:dyDescent="0.2"/>
    <row r="654" s="51" customFormat="1" ht="13.5" customHeight="1" x14ac:dyDescent="0.2"/>
    <row r="655" s="51" customFormat="1" ht="13.5" customHeight="1" x14ac:dyDescent="0.2"/>
    <row r="656" s="51" customFormat="1" ht="13.5" customHeight="1" x14ac:dyDescent="0.2"/>
    <row r="657" s="51" customFormat="1" ht="13.5" customHeight="1" x14ac:dyDescent="0.2"/>
    <row r="658" s="51" customFormat="1" ht="13.5" customHeight="1" x14ac:dyDescent="0.2"/>
    <row r="659" s="51" customFormat="1" ht="13.5" customHeight="1" x14ac:dyDescent="0.2"/>
    <row r="660" s="51" customFormat="1" ht="13.5" customHeight="1" x14ac:dyDescent="0.2"/>
    <row r="661" s="51" customFormat="1" ht="13.5" customHeight="1" x14ac:dyDescent="0.2"/>
    <row r="662" s="51" customFormat="1" ht="13.5" customHeight="1" x14ac:dyDescent="0.2"/>
    <row r="663" s="51" customFormat="1" ht="13.5" customHeight="1" x14ac:dyDescent="0.2"/>
    <row r="664" s="51" customFormat="1" ht="13.5" customHeight="1" x14ac:dyDescent="0.2"/>
    <row r="665" s="51" customFormat="1" ht="13.5" customHeight="1" x14ac:dyDescent="0.2"/>
    <row r="666" s="51" customFormat="1" ht="13.5" customHeight="1" x14ac:dyDescent="0.2"/>
    <row r="667" s="51" customFormat="1" ht="13.5" customHeight="1" x14ac:dyDescent="0.2"/>
    <row r="668" s="51" customFormat="1" ht="13.5" customHeight="1" x14ac:dyDescent="0.2"/>
    <row r="669" s="51" customFormat="1" ht="13.5" customHeight="1" x14ac:dyDescent="0.2"/>
    <row r="670" s="51" customFormat="1" ht="13.5" customHeight="1" x14ac:dyDescent="0.2"/>
    <row r="671" s="51" customFormat="1" ht="13.5" customHeight="1" x14ac:dyDescent="0.2"/>
    <row r="672" s="51" customFormat="1" ht="13.5" customHeight="1" x14ac:dyDescent="0.2"/>
    <row r="673" s="51" customFormat="1" ht="13.5" customHeight="1" x14ac:dyDescent="0.2"/>
    <row r="674" s="51" customFormat="1" ht="13.5" customHeight="1" x14ac:dyDescent="0.2"/>
    <row r="675" s="51" customFormat="1" ht="13.5" customHeight="1" x14ac:dyDescent="0.2"/>
    <row r="676" s="51" customFormat="1" ht="13.5" customHeight="1" x14ac:dyDescent="0.2"/>
    <row r="677" s="51" customFormat="1" ht="13.5" customHeight="1" x14ac:dyDescent="0.2"/>
    <row r="678" s="51" customFormat="1" ht="13.5" customHeight="1" x14ac:dyDescent="0.2"/>
    <row r="679" s="51" customFormat="1" ht="13.5" customHeight="1" x14ac:dyDescent="0.2"/>
    <row r="680" s="51" customFormat="1" ht="13.5" customHeight="1" x14ac:dyDescent="0.2"/>
    <row r="681" s="51" customFormat="1" ht="13.5" customHeight="1" x14ac:dyDescent="0.2"/>
    <row r="682" s="51" customFormat="1" ht="13.5" customHeight="1" x14ac:dyDescent="0.2"/>
    <row r="683" s="51" customFormat="1" ht="13.5" customHeight="1" x14ac:dyDescent="0.2"/>
    <row r="684" s="51" customFormat="1" ht="13.5" customHeight="1" x14ac:dyDescent="0.2"/>
    <row r="685" s="51" customFormat="1" ht="13.5" customHeight="1" x14ac:dyDescent="0.2"/>
    <row r="686" s="51" customFormat="1" ht="13.5" customHeight="1" x14ac:dyDescent="0.2"/>
    <row r="687" s="51" customFormat="1" ht="13.5" customHeight="1" x14ac:dyDescent="0.2"/>
    <row r="688" s="51" customFormat="1" ht="13.5" customHeight="1" x14ac:dyDescent="0.2"/>
    <row r="689" s="51" customFormat="1" ht="13.5" customHeight="1" x14ac:dyDescent="0.2"/>
    <row r="690" s="51" customFormat="1" ht="13.5" customHeight="1" x14ac:dyDescent="0.2"/>
    <row r="691" s="51" customFormat="1" ht="13.5" customHeight="1" x14ac:dyDescent="0.2"/>
    <row r="692" s="51" customFormat="1" ht="13.5" customHeight="1" x14ac:dyDescent="0.2"/>
    <row r="693" s="51" customFormat="1" ht="13.5" customHeight="1" x14ac:dyDescent="0.2"/>
    <row r="694" s="51" customFormat="1" ht="13.5" customHeight="1" x14ac:dyDescent="0.2"/>
    <row r="695" s="51" customFormat="1" ht="13.5" customHeight="1" x14ac:dyDescent="0.2"/>
    <row r="696" s="51" customFormat="1" ht="13.5" customHeight="1" x14ac:dyDescent="0.2"/>
    <row r="697" s="51" customFormat="1" ht="13.5" customHeight="1" x14ac:dyDescent="0.2"/>
    <row r="698" s="51" customFormat="1" ht="13.5" customHeight="1" x14ac:dyDescent="0.2"/>
    <row r="699" s="51" customFormat="1" ht="13.5" customHeight="1" x14ac:dyDescent="0.2"/>
    <row r="700" s="51" customFormat="1" ht="13.5" customHeight="1" x14ac:dyDescent="0.2"/>
    <row r="701" s="51" customFormat="1" ht="13.5" customHeight="1" x14ac:dyDescent="0.2"/>
    <row r="702" s="51" customFormat="1" ht="13.5" customHeight="1" x14ac:dyDescent="0.2"/>
    <row r="703" s="51" customFormat="1" ht="13.5" customHeight="1" x14ac:dyDescent="0.2"/>
    <row r="704" s="51" customFormat="1" ht="13.5" customHeight="1" x14ac:dyDescent="0.2"/>
    <row r="705" s="51" customFormat="1" ht="13.5" customHeight="1" x14ac:dyDescent="0.2"/>
    <row r="706" s="51" customFormat="1" ht="13.5" customHeight="1" x14ac:dyDescent="0.2"/>
    <row r="707" s="51" customFormat="1" ht="13.5" customHeight="1" x14ac:dyDescent="0.2"/>
    <row r="708" s="51" customFormat="1" ht="13.5" customHeight="1" x14ac:dyDescent="0.2"/>
    <row r="709" s="51" customFormat="1" ht="13.5" customHeight="1" x14ac:dyDescent="0.2"/>
    <row r="710" s="51" customFormat="1" ht="13.5" customHeight="1" x14ac:dyDescent="0.2"/>
    <row r="711" s="51" customFormat="1" ht="13.5" customHeight="1" x14ac:dyDescent="0.2"/>
    <row r="712" s="51" customFormat="1" ht="13.5" customHeight="1" x14ac:dyDescent="0.2"/>
    <row r="713" s="51" customFormat="1" ht="13.5" customHeight="1" x14ac:dyDescent="0.2"/>
    <row r="714" s="51" customFormat="1" ht="13.5" customHeight="1" x14ac:dyDescent="0.2"/>
    <row r="715" s="51" customFormat="1" ht="13.5" customHeight="1" x14ac:dyDescent="0.2"/>
    <row r="716" s="51" customFormat="1" ht="13.5" customHeight="1" x14ac:dyDescent="0.2"/>
    <row r="717" s="51" customFormat="1" ht="13.5" customHeight="1" x14ac:dyDescent="0.2"/>
    <row r="718" s="51" customFormat="1" ht="13.5" customHeight="1" x14ac:dyDescent="0.2"/>
    <row r="719" s="51" customFormat="1" ht="13.5" customHeight="1" x14ac:dyDescent="0.2"/>
    <row r="720" s="51" customFormat="1" ht="13.5" customHeight="1" x14ac:dyDescent="0.2"/>
    <row r="721" s="51" customFormat="1" ht="13.5" customHeight="1" x14ac:dyDescent="0.2"/>
    <row r="722" s="51" customFormat="1" ht="13.5" customHeight="1" x14ac:dyDescent="0.2"/>
    <row r="723" s="51" customFormat="1" ht="13.5" customHeight="1" x14ac:dyDescent="0.2"/>
    <row r="724" s="51" customFormat="1" ht="13.5" customHeight="1" x14ac:dyDescent="0.2"/>
    <row r="725" s="51" customFormat="1" ht="13.5" customHeight="1" x14ac:dyDescent="0.2"/>
    <row r="726" s="51" customFormat="1" ht="13.5" customHeight="1" x14ac:dyDescent="0.2"/>
    <row r="727" s="51" customFormat="1" ht="13.5" customHeight="1" x14ac:dyDescent="0.2"/>
    <row r="728" s="51" customFormat="1" ht="13.5" customHeight="1" x14ac:dyDescent="0.2"/>
    <row r="729" s="51" customFormat="1" ht="13.5" customHeight="1" x14ac:dyDescent="0.2"/>
    <row r="730" s="51" customFormat="1" ht="13.5" customHeight="1" x14ac:dyDescent="0.2"/>
    <row r="731" s="51" customFormat="1" ht="13.5" customHeight="1" x14ac:dyDescent="0.2"/>
    <row r="732" s="51" customFormat="1" ht="13.5" customHeight="1" x14ac:dyDescent="0.2"/>
    <row r="733" s="51" customFormat="1" ht="13.5" customHeight="1" x14ac:dyDescent="0.2"/>
    <row r="734" s="51" customFormat="1" ht="13.5" customHeight="1" x14ac:dyDescent="0.2"/>
    <row r="735" s="51" customFormat="1" ht="13.5" customHeight="1" x14ac:dyDescent="0.2"/>
    <row r="736" s="51" customFormat="1" ht="13.5" customHeight="1" x14ac:dyDescent="0.2"/>
    <row r="737" s="51" customFormat="1" ht="13.5" customHeight="1" x14ac:dyDescent="0.2"/>
    <row r="738" s="51" customFormat="1" ht="13.5" customHeight="1" x14ac:dyDescent="0.2"/>
    <row r="739" s="51" customFormat="1" ht="13.5" customHeight="1" x14ac:dyDescent="0.2"/>
    <row r="740" s="51" customFormat="1" ht="13.5" customHeight="1" x14ac:dyDescent="0.2"/>
    <row r="741" s="51" customFormat="1" ht="13.5" customHeight="1" x14ac:dyDescent="0.2"/>
    <row r="742" s="51" customFormat="1" ht="13.5" customHeight="1" x14ac:dyDescent="0.2"/>
    <row r="743" s="51" customFormat="1" ht="13.5" customHeight="1" x14ac:dyDescent="0.2"/>
    <row r="744" s="51" customFormat="1" ht="13.5" customHeight="1" x14ac:dyDescent="0.2"/>
    <row r="745" s="51" customFormat="1" ht="13.5" customHeight="1" x14ac:dyDescent="0.2"/>
    <row r="746" s="51" customFormat="1" ht="13.5" customHeight="1" x14ac:dyDescent="0.2"/>
    <row r="747" s="51" customFormat="1" ht="13.5" customHeight="1" x14ac:dyDescent="0.2"/>
    <row r="748" s="51" customFormat="1" ht="13.5" customHeight="1" x14ac:dyDescent="0.2"/>
    <row r="749" s="51" customFormat="1" ht="13.5" customHeight="1" x14ac:dyDescent="0.2"/>
    <row r="750" s="51" customFormat="1" ht="13.5" customHeight="1" x14ac:dyDescent="0.2"/>
    <row r="751" s="51" customFormat="1" ht="13.5" customHeight="1" x14ac:dyDescent="0.2"/>
    <row r="752" s="51" customFormat="1" ht="13.5" customHeight="1" x14ac:dyDescent="0.2"/>
    <row r="753" s="51" customFormat="1" ht="13.5" customHeight="1" x14ac:dyDescent="0.2"/>
    <row r="754" s="51" customFormat="1" ht="13.5" customHeight="1" x14ac:dyDescent="0.2"/>
    <row r="755" s="51" customFormat="1" ht="13.5" customHeight="1" x14ac:dyDescent="0.2"/>
    <row r="756" s="51" customFormat="1" ht="13.5" customHeight="1" x14ac:dyDescent="0.2"/>
    <row r="757" s="51" customFormat="1" ht="13.5" customHeight="1" x14ac:dyDescent="0.2"/>
    <row r="758" s="51" customFormat="1" ht="13.5" customHeight="1" x14ac:dyDescent="0.2"/>
    <row r="759" s="51" customFormat="1" ht="13.5" customHeight="1" x14ac:dyDescent="0.2"/>
    <row r="760" s="51" customFormat="1" ht="13.5" customHeight="1" x14ac:dyDescent="0.2"/>
    <row r="761" s="51" customFormat="1" ht="13.5" customHeight="1" x14ac:dyDescent="0.2"/>
    <row r="762" s="51" customFormat="1" ht="13.5" customHeight="1" x14ac:dyDescent="0.2"/>
    <row r="763" s="51" customFormat="1" ht="13.5" customHeight="1" x14ac:dyDescent="0.2"/>
    <row r="764" s="51" customFormat="1" ht="13.5" customHeight="1" x14ac:dyDescent="0.2"/>
    <row r="765" s="51" customFormat="1" ht="13.5" customHeight="1" x14ac:dyDescent="0.2"/>
    <row r="766" s="51" customFormat="1" ht="13.5" customHeight="1" x14ac:dyDescent="0.2"/>
    <row r="767" s="51" customFormat="1" ht="13.5" customHeight="1" x14ac:dyDescent="0.2"/>
    <row r="768" s="51" customFormat="1" ht="13.5" customHeight="1" x14ac:dyDescent="0.2"/>
    <row r="769" s="51" customFormat="1" ht="13.5" customHeight="1" x14ac:dyDescent="0.2"/>
    <row r="770" s="51" customFormat="1" ht="13.5" customHeight="1" x14ac:dyDescent="0.2"/>
    <row r="771" s="51" customFormat="1" ht="13.5" customHeight="1" x14ac:dyDescent="0.2"/>
    <row r="772" s="51" customFormat="1" ht="13.5" customHeight="1" x14ac:dyDescent="0.2"/>
    <row r="773" s="51" customFormat="1" ht="13.5" customHeight="1" x14ac:dyDescent="0.2"/>
    <row r="774" s="51" customFormat="1" ht="13.5" customHeight="1" x14ac:dyDescent="0.2"/>
    <row r="775" s="51" customFormat="1" ht="13.5" customHeight="1" x14ac:dyDescent="0.2"/>
    <row r="776" s="51" customFormat="1" ht="13.5" customHeight="1" x14ac:dyDescent="0.2"/>
    <row r="777" s="51" customFormat="1" ht="13.5" customHeight="1" x14ac:dyDescent="0.2"/>
    <row r="778" s="51" customFormat="1" ht="13.5" customHeight="1" x14ac:dyDescent="0.2"/>
    <row r="779" s="51" customFormat="1" ht="13.5" customHeight="1" x14ac:dyDescent="0.2"/>
    <row r="780" s="51" customFormat="1" ht="13.5" customHeight="1" x14ac:dyDescent="0.2"/>
    <row r="781" s="51" customFormat="1" ht="13.5" customHeight="1" x14ac:dyDescent="0.2"/>
    <row r="782" s="51" customFormat="1" ht="13.5" customHeight="1" x14ac:dyDescent="0.2"/>
    <row r="783" s="51" customFormat="1" ht="13.5" customHeight="1" x14ac:dyDescent="0.2"/>
    <row r="784" s="51" customFormat="1" ht="13.5" customHeight="1" x14ac:dyDescent="0.2"/>
    <row r="785" s="51" customFormat="1" ht="13.5" customHeight="1" x14ac:dyDescent="0.2"/>
    <row r="786" s="51" customFormat="1" ht="13.5" customHeight="1" x14ac:dyDescent="0.2"/>
    <row r="787" s="51" customFormat="1" ht="13.5" customHeight="1" x14ac:dyDescent="0.2"/>
    <row r="788" s="51" customFormat="1" ht="13.5" customHeight="1" x14ac:dyDescent="0.2"/>
    <row r="789" s="51" customFormat="1" ht="13.5" customHeight="1" x14ac:dyDescent="0.2"/>
    <row r="790" s="51" customFormat="1" ht="13.5" customHeight="1" x14ac:dyDescent="0.2"/>
    <row r="791" s="51" customFormat="1" ht="13.5" customHeight="1" x14ac:dyDescent="0.2"/>
    <row r="792" s="51" customFormat="1" ht="13.5" customHeight="1" x14ac:dyDescent="0.2"/>
    <row r="793" s="51" customFormat="1" ht="13.5" customHeight="1" x14ac:dyDescent="0.2"/>
    <row r="794" s="51" customFormat="1" ht="13.5" customHeight="1" x14ac:dyDescent="0.2"/>
    <row r="795" s="51" customFormat="1" ht="13.5" customHeight="1" x14ac:dyDescent="0.2"/>
    <row r="796" s="51" customFormat="1" ht="13.5" customHeight="1" x14ac:dyDescent="0.2"/>
    <row r="797" s="51" customFormat="1" ht="13.5" customHeight="1" x14ac:dyDescent="0.2"/>
    <row r="798" s="51" customFormat="1" ht="13.5" customHeight="1" x14ac:dyDescent="0.2"/>
    <row r="799" s="51" customFormat="1" ht="13.5" customHeight="1" x14ac:dyDescent="0.2"/>
    <row r="800" s="51" customFormat="1" ht="13.5" customHeight="1" x14ac:dyDescent="0.2"/>
    <row r="801" s="51" customFormat="1" ht="13.5" customHeight="1" x14ac:dyDescent="0.2"/>
    <row r="802" s="51" customFormat="1" ht="13.5" customHeight="1" x14ac:dyDescent="0.2"/>
    <row r="803" s="51" customFormat="1" ht="13.5" customHeight="1" x14ac:dyDescent="0.2"/>
    <row r="804" s="51" customFormat="1" ht="13.5" customHeight="1" x14ac:dyDescent="0.2"/>
    <row r="805" s="51" customFormat="1" ht="13.5" customHeight="1" x14ac:dyDescent="0.2"/>
    <row r="806" s="51" customFormat="1" ht="13.5" customHeight="1" x14ac:dyDescent="0.2"/>
    <row r="807" s="51" customFormat="1" ht="13.5" customHeight="1" x14ac:dyDescent="0.2"/>
    <row r="808" s="51" customFormat="1" ht="13.5" customHeight="1" x14ac:dyDescent="0.2"/>
    <row r="809" s="51" customFormat="1" ht="13.5" customHeight="1" x14ac:dyDescent="0.2"/>
    <row r="810" s="51" customFormat="1" ht="13.5" customHeight="1" x14ac:dyDescent="0.2"/>
    <row r="811" s="51" customFormat="1" ht="13.5" customHeight="1" x14ac:dyDescent="0.2"/>
    <row r="812" s="51" customFormat="1" ht="13.5" customHeight="1" x14ac:dyDescent="0.2"/>
    <row r="813" s="51" customFormat="1" ht="13.5" customHeight="1" x14ac:dyDescent="0.2"/>
    <row r="814" s="51" customFormat="1" ht="13.5" customHeight="1" x14ac:dyDescent="0.2"/>
    <row r="815" s="51" customFormat="1" ht="13.5" customHeight="1" x14ac:dyDescent="0.2"/>
    <row r="816" s="51" customFormat="1" ht="13.5" customHeight="1" x14ac:dyDescent="0.2"/>
    <row r="817" s="51" customFormat="1" ht="13.5" customHeight="1" x14ac:dyDescent="0.2"/>
    <row r="818" s="51" customFormat="1" ht="13.5" customHeight="1" x14ac:dyDescent="0.2"/>
    <row r="819" s="51" customFormat="1" ht="13.5" customHeight="1" x14ac:dyDescent="0.2"/>
    <row r="820" s="51" customFormat="1" ht="13.5" customHeight="1" x14ac:dyDescent="0.2"/>
    <row r="821" s="51" customFormat="1" ht="13.5" customHeight="1" x14ac:dyDescent="0.2"/>
    <row r="822" s="51" customFormat="1" ht="13.5" customHeight="1" x14ac:dyDescent="0.2"/>
    <row r="823" s="51" customFormat="1" ht="13.5" customHeight="1" x14ac:dyDescent="0.2"/>
    <row r="824" s="51" customFormat="1" ht="13.5" customHeight="1" x14ac:dyDescent="0.2"/>
    <row r="825" s="51" customFormat="1" ht="13.5" customHeight="1" x14ac:dyDescent="0.2"/>
    <row r="826" s="51" customFormat="1" ht="13.5" customHeight="1" x14ac:dyDescent="0.2"/>
    <row r="827" s="51" customFormat="1" ht="13.5" customHeight="1" x14ac:dyDescent="0.2"/>
    <row r="828" s="51" customFormat="1" ht="13.5" customHeight="1" x14ac:dyDescent="0.2"/>
    <row r="829" s="51" customFormat="1" ht="13.5" customHeight="1" x14ac:dyDescent="0.2"/>
    <row r="830" s="51" customFormat="1" ht="13.5" customHeight="1" x14ac:dyDescent="0.2"/>
    <row r="831" s="51" customFormat="1" ht="13.5" customHeight="1" x14ac:dyDescent="0.2"/>
    <row r="832" s="51" customFormat="1" ht="13.5" customHeight="1" x14ac:dyDescent="0.2"/>
    <row r="833" s="51" customFormat="1" ht="13.5" customHeight="1" x14ac:dyDescent="0.2"/>
    <row r="834" s="51" customFormat="1" ht="13.5" customHeight="1" x14ac:dyDescent="0.2"/>
    <row r="835" s="51" customFormat="1" ht="13.5" customHeight="1" x14ac:dyDescent="0.2"/>
    <row r="836" s="51" customFormat="1" ht="13.5" customHeight="1" x14ac:dyDescent="0.2"/>
    <row r="837" s="51" customFormat="1" ht="13.5" customHeight="1" x14ac:dyDescent="0.2"/>
    <row r="838" s="51" customFormat="1" ht="13.5" customHeight="1" x14ac:dyDescent="0.2"/>
    <row r="839" s="51" customFormat="1" ht="13.5" customHeight="1" x14ac:dyDescent="0.2"/>
    <row r="840" s="51" customFormat="1" ht="13.5" customHeight="1" x14ac:dyDescent="0.2"/>
    <row r="841" s="51" customFormat="1" ht="13.5" customHeight="1" x14ac:dyDescent="0.2"/>
    <row r="842" s="51" customFormat="1" ht="13.5" customHeight="1" x14ac:dyDescent="0.2"/>
    <row r="843" s="51" customFormat="1" ht="13.5" customHeight="1" x14ac:dyDescent="0.2"/>
    <row r="844" s="51" customFormat="1" ht="13.5" customHeight="1" x14ac:dyDescent="0.2"/>
    <row r="845" s="51" customFormat="1" ht="13.5" customHeight="1" x14ac:dyDescent="0.2"/>
    <row r="846" s="51" customFormat="1" ht="13.5" customHeight="1" x14ac:dyDescent="0.2"/>
    <row r="847" s="51" customFormat="1" ht="13.5" customHeight="1" x14ac:dyDescent="0.2"/>
    <row r="848" s="51" customFormat="1" ht="13.5" customHeight="1" x14ac:dyDescent="0.2"/>
    <row r="849" s="51" customFormat="1" ht="13.5" customHeight="1" x14ac:dyDescent="0.2"/>
    <row r="850" s="51" customFormat="1" ht="13.5" customHeight="1" x14ac:dyDescent="0.2"/>
    <row r="851" s="51" customFormat="1" ht="13.5" customHeight="1" x14ac:dyDescent="0.2"/>
    <row r="852" s="51" customFormat="1" ht="13.5" customHeight="1" x14ac:dyDescent="0.2"/>
    <row r="853" s="51" customFormat="1" ht="13.5" customHeight="1" x14ac:dyDescent="0.2"/>
    <row r="854" s="51" customFormat="1" ht="13.5" customHeight="1" x14ac:dyDescent="0.2"/>
    <row r="855" s="51" customFormat="1" ht="13.5" customHeight="1" x14ac:dyDescent="0.2"/>
    <row r="856" s="51" customFormat="1" ht="13.5" customHeight="1" x14ac:dyDescent="0.2"/>
    <row r="857" s="51" customFormat="1" ht="13.5" customHeight="1" x14ac:dyDescent="0.2"/>
    <row r="858" s="51" customFormat="1" ht="13.5" customHeight="1" x14ac:dyDescent="0.2"/>
    <row r="859" s="51" customFormat="1" ht="13.5" customHeight="1" x14ac:dyDescent="0.2"/>
    <row r="860" s="51" customFormat="1" ht="13.5" customHeight="1" x14ac:dyDescent="0.2"/>
    <row r="861" s="51" customFormat="1" ht="13.5" customHeight="1" x14ac:dyDescent="0.2"/>
    <row r="862" s="51" customFormat="1" ht="13.5" customHeight="1" x14ac:dyDescent="0.2"/>
    <row r="863" s="51" customFormat="1" ht="13.5" customHeight="1" x14ac:dyDescent="0.2"/>
    <row r="864" s="51" customFormat="1" ht="13.5" customHeight="1" x14ac:dyDescent="0.2"/>
    <row r="865" s="51" customFormat="1" ht="13.5" customHeight="1" x14ac:dyDescent="0.2"/>
    <row r="866" s="51" customFormat="1" ht="13.5" customHeight="1" x14ac:dyDescent="0.2"/>
    <row r="867" s="51" customFormat="1" ht="13.5" customHeight="1" x14ac:dyDescent="0.2"/>
    <row r="868" s="51" customFormat="1" ht="13.5" customHeight="1" x14ac:dyDescent="0.2"/>
    <row r="869" s="51" customFormat="1" ht="13.5" customHeight="1" x14ac:dyDescent="0.2"/>
    <row r="870" s="51" customFormat="1" ht="13.5" customHeight="1" x14ac:dyDescent="0.2"/>
    <row r="871" s="51" customFormat="1" ht="13.5" customHeight="1" x14ac:dyDescent="0.2"/>
    <row r="872" s="51" customFormat="1" ht="13.5" customHeight="1" x14ac:dyDescent="0.2"/>
    <row r="873" s="51" customFormat="1" ht="13.5" customHeight="1" x14ac:dyDescent="0.2"/>
    <row r="874" s="51" customFormat="1" ht="13.5" customHeight="1" x14ac:dyDescent="0.2"/>
    <row r="875" s="51" customFormat="1" ht="13.5" customHeight="1" x14ac:dyDescent="0.2"/>
    <row r="876" s="51" customFormat="1" ht="13.5" customHeight="1" x14ac:dyDescent="0.2"/>
    <row r="877" s="51" customFormat="1" ht="13.5" customHeight="1" x14ac:dyDescent="0.2"/>
    <row r="878" s="51" customFormat="1" ht="13.5" customHeight="1" x14ac:dyDescent="0.2"/>
    <row r="879" s="51" customFormat="1" ht="13.5" customHeight="1" x14ac:dyDescent="0.2"/>
    <row r="880" s="51" customFormat="1" ht="13.5" customHeight="1" x14ac:dyDescent="0.2"/>
    <row r="881" s="51" customFormat="1" ht="13.5" customHeight="1" x14ac:dyDescent="0.2"/>
    <row r="882" s="51" customFormat="1" ht="13.5" customHeight="1" x14ac:dyDescent="0.2"/>
    <row r="883" s="51" customFormat="1" ht="13.5" customHeight="1" x14ac:dyDescent="0.2"/>
    <row r="884" s="51" customFormat="1" ht="13.5" customHeight="1" x14ac:dyDescent="0.2"/>
    <row r="885" s="51" customFormat="1" ht="13.5" customHeight="1" x14ac:dyDescent="0.2"/>
    <row r="886" s="51" customFormat="1" ht="13.5" customHeight="1" x14ac:dyDescent="0.2"/>
    <row r="887" s="51" customFormat="1" ht="13.5" customHeight="1" x14ac:dyDescent="0.2"/>
    <row r="888" s="51" customFormat="1" ht="13.5" customHeight="1" x14ac:dyDescent="0.2"/>
    <row r="889" s="51" customFormat="1" ht="13.5" customHeight="1" x14ac:dyDescent="0.2"/>
    <row r="890" s="51" customFormat="1" ht="13.5" customHeight="1" x14ac:dyDescent="0.2"/>
    <row r="891" s="51" customFormat="1" ht="13.5" customHeight="1" x14ac:dyDescent="0.2"/>
    <row r="892" s="51" customFormat="1" ht="13.5" customHeight="1" x14ac:dyDescent="0.2"/>
    <row r="893" s="51" customFormat="1" ht="13.5" customHeight="1" x14ac:dyDescent="0.2"/>
    <row r="894" s="51" customFormat="1" ht="13.5" customHeight="1" x14ac:dyDescent="0.2"/>
    <row r="895" s="51" customFormat="1" ht="13.5" customHeight="1" x14ac:dyDescent="0.2"/>
    <row r="896" s="51" customFormat="1" ht="13.5" customHeight="1" x14ac:dyDescent="0.2"/>
    <row r="897" s="51" customFormat="1" ht="13.5" customHeight="1" x14ac:dyDescent="0.2"/>
    <row r="898" s="51" customFormat="1" ht="13.5" customHeight="1" x14ac:dyDescent="0.2"/>
    <row r="899" s="51" customFormat="1" ht="13.5" customHeight="1" x14ac:dyDescent="0.2"/>
    <row r="900" s="51" customFormat="1" ht="13.5" customHeight="1" x14ac:dyDescent="0.2"/>
    <row r="901" s="51" customFormat="1" ht="13.5" customHeight="1" x14ac:dyDescent="0.2"/>
    <row r="902" s="51" customFormat="1" ht="13.5" customHeight="1" x14ac:dyDescent="0.2"/>
    <row r="903" s="51" customFormat="1" ht="13.5" customHeight="1" x14ac:dyDescent="0.2"/>
    <row r="904" s="51" customFormat="1" ht="13.5" customHeight="1" x14ac:dyDescent="0.2"/>
    <row r="905" s="51" customFormat="1" ht="13.5" customHeight="1" x14ac:dyDescent="0.2"/>
    <row r="906" s="51" customFormat="1" ht="13.5" customHeight="1" x14ac:dyDescent="0.2"/>
    <row r="907" s="51" customFormat="1" ht="13.5" customHeight="1" x14ac:dyDescent="0.2"/>
    <row r="908" s="51" customFormat="1" ht="13.5" customHeight="1" x14ac:dyDescent="0.2"/>
    <row r="909" s="51" customFormat="1" ht="13.5" customHeight="1" x14ac:dyDescent="0.2"/>
    <row r="910" s="51" customFormat="1" ht="13.5" customHeight="1" x14ac:dyDescent="0.2"/>
    <row r="911" s="51" customFormat="1" ht="13.5" customHeight="1" x14ac:dyDescent="0.2"/>
    <row r="912" s="51" customFormat="1" ht="13.5" customHeight="1" x14ac:dyDescent="0.2"/>
    <row r="913" s="51" customFormat="1" ht="13.5" customHeight="1" x14ac:dyDescent="0.2"/>
    <row r="914" s="51" customFormat="1" ht="13.5" customHeight="1" x14ac:dyDescent="0.2"/>
    <row r="915" s="51" customFormat="1" ht="13.5" customHeight="1" x14ac:dyDescent="0.2"/>
    <row r="916" s="51" customFormat="1" ht="13.5" customHeight="1" x14ac:dyDescent="0.2"/>
    <row r="917" s="51" customFormat="1" ht="13.5" customHeight="1" x14ac:dyDescent="0.2"/>
    <row r="918" s="51" customFormat="1" ht="13.5" customHeight="1" x14ac:dyDescent="0.2"/>
    <row r="919" s="51" customFormat="1" ht="13.5" customHeight="1" x14ac:dyDescent="0.2"/>
    <row r="920" s="51" customFormat="1" ht="13.5" customHeight="1" x14ac:dyDescent="0.2"/>
    <row r="921" s="51" customFormat="1" ht="13.5" customHeight="1" x14ac:dyDescent="0.2"/>
    <row r="922" s="51" customFormat="1" ht="13.5" customHeight="1" x14ac:dyDescent="0.2"/>
    <row r="923" s="51" customFormat="1" ht="13.5" customHeight="1" x14ac:dyDescent="0.2"/>
    <row r="924" s="51" customFormat="1" ht="13.5" customHeight="1" x14ac:dyDescent="0.2"/>
    <row r="925" s="51" customFormat="1" ht="13.5" customHeight="1" x14ac:dyDescent="0.2"/>
    <row r="926" s="51" customFormat="1" ht="13.5" customHeight="1" x14ac:dyDescent="0.2"/>
    <row r="927" s="51" customFormat="1" ht="13.5" customHeight="1" x14ac:dyDescent="0.2"/>
    <row r="928" s="51" customFormat="1" ht="13.5" customHeight="1" x14ac:dyDescent="0.2"/>
    <row r="929" s="51" customFormat="1" ht="13.5" customHeight="1" x14ac:dyDescent="0.2"/>
    <row r="930" s="51" customFormat="1" ht="13.5" customHeight="1" x14ac:dyDescent="0.2"/>
    <row r="931" s="51" customFormat="1" ht="13.5" customHeight="1" x14ac:dyDescent="0.2"/>
    <row r="932" s="51" customFormat="1" ht="13.5" customHeight="1" x14ac:dyDescent="0.2"/>
    <row r="933" s="51" customFormat="1" ht="13.5" customHeight="1" x14ac:dyDescent="0.2"/>
    <row r="934" s="51" customFormat="1" ht="13.5" customHeight="1" x14ac:dyDescent="0.2"/>
    <row r="935" s="51" customFormat="1" ht="13.5" customHeight="1" x14ac:dyDescent="0.2"/>
    <row r="936" s="51" customFormat="1" ht="13.5" customHeight="1" x14ac:dyDescent="0.2"/>
    <row r="937" s="51" customFormat="1" ht="13.5" customHeight="1" x14ac:dyDescent="0.2"/>
    <row r="938" s="51" customFormat="1" ht="13.5" customHeight="1" x14ac:dyDescent="0.2"/>
    <row r="939" s="51" customFormat="1" ht="13.5" customHeight="1" x14ac:dyDescent="0.2"/>
    <row r="940" s="51" customFormat="1" ht="13.5" customHeight="1" x14ac:dyDescent="0.2"/>
    <row r="941" s="51" customFormat="1" ht="13.5" customHeight="1" x14ac:dyDescent="0.2"/>
    <row r="942" s="51" customFormat="1" ht="13.5" customHeight="1" x14ac:dyDescent="0.2"/>
    <row r="943" s="51" customFormat="1" ht="13.5" customHeight="1" x14ac:dyDescent="0.2"/>
    <row r="944" s="51" customFormat="1" ht="13.5" customHeight="1" x14ac:dyDescent="0.2"/>
    <row r="945" s="51" customFormat="1" ht="13.5" customHeight="1" x14ac:dyDescent="0.2"/>
    <row r="946" s="51" customFormat="1" ht="13.5" customHeight="1" x14ac:dyDescent="0.2"/>
    <row r="947" s="51" customFormat="1" ht="13.5" customHeight="1" x14ac:dyDescent="0.2"/>
    <row r="948" s="51" customFormat="1" ht="13.5" customHeight="1" x14ac:dyDescent="0.2"/>
    <row r="949" s="51" customFormat="1" ht="13.5" customHeight="1" x14ac:dyDescent="0.2"/>
    <row r="950" s="51" customFormat="1" ht="13.5" customHeight="1" x14ac:dyDescent="0.2"/>
    <row r="951" s="51" customFormat="1" ht="13.5" customHeight="1" x14ac:dyDescent="0.2"/>
    <row r="952" s="51" customFormat="1" ht="13.5" customHeight="1" x14ac:dyDescent="0.2"/>
    <row r="953" s="51" customFormat="1" ht="13.5" customHeight="1" x14ac:dyDescent="0.2"/>
    <row r="954" s="51" customFormat="1" ht="13.5" customHeight="1" x14ac:dyDescent="0.2"/>
    <row r="955" s="51" customFormat="1" ht="13.5" customHeight="1" x14ac:dyDescent="0.2"/>
    <row r="956" s="51" customFormat="1" ht="13.5" customHeight="1" x14ac:dyDescent="0.2"/>
    <row r="957" s="51" customFormat="1" ht="13.5" customHeight="1" x14ac:dyDescent="0.2"/>
    <row r="958" s="51" customFormat="1" ht="13.5" customHeight="1" x14ac:dyDescent="0.2"/>
    <row r="959" s="51" customFormat="1" ht="13.5" customHeight="1" x14ac:dyDescent="0.2"/>
    <row r="960" s="51" customFormat="1" ht="13.5" customHeight="1" x14ac:dyDescent="0.2"/>
    <row r="961" s="51" customFormat="1" ht="13.5" customHeight="1" x14ac:dyDescent="0.2"/>
    <row r="962" s="51" customFormat="1" ht="13.5" customHeight="1" x14ac:dyDescent="0.2"/>
    <row r="963" s="51" customFormat="1" ht="13.5" customHeight="1" x14ac:dyDescent="0.2"/>
    <row r="964" s="51" customFormat="1" ht="13.5" customHeight="1" x14ac:dyDescent="0.2"/>
    <row r="965" s="51" customFormat="1" ht="13.5" customHeight="1" x14ac:dyDescent="0.2"/>
    <row r="966" s="51" customFormat="1" ht="13.5" customHeight="1" x14ac:dyDescent="0.2"/>
    <row r="967" s="51" customFormat="1" ht="13.5" customHeight="1" x14ac:dyDescent="0.2"/>
    <row r="968" s="51" customFormat="1" ht="13.5" customHeight="1" x14ac:dyDescent="0.2"/>
    <row r="969" s="51" customFormat="1" ht="13.5" customHeight="1" x14ac:dyDescent="0.2"/>
    <row r="970" s="51" customFormat="1" ht="13.5" customHeight="1" x14ac:dyDescent="0.2"/>
    <row r="971" s="51" customFormat="1" ht="13.5" customHeight="1" x14ac:dyDescent="0.2"/>
    <row r="972" s="51" customFormat="1" ht="13.5" customHeight="1" x14ac:dyDescent="0.2"/>
    <row r="973" s="51" customFormat="1" ht="13.5" customHeight="1" x14ac:dyDescent="0.2"/>
    <row r="974" s="51" customFormat="1" ht="13.5" customHeight="1" x14ac:dyDescent="0.2"/>
    <row r="975" s="51" customFormat="1" ht="13.5" customHeight="1" x14ac:dyDescent="0.2"/>
    <row r="976" s="51" customFormat="1" ht="13.5" customHeight="1" x14ac:dyDescent="0.2"/>
    <row r="977" s="51" customFormat="1" ht="13.5" customHeight="1" x14ac:dyDescent="0.2"/>
    <row r="978" s="51" customFormat="1" ht="13.5" customHeight="1" x14ac:dyDescent="0.2"/>
    <row r="979" s="51" customFormat="1" ht="13.5" customHeight="1" x14ac:dyDescent="0.2"/>
    <row r="980" s="51" customFormat="1" ht="13.5" customHeight="1" x14ac:dyDescent="0.2"/>
    <row r="981" s="51" customFormat="1" ht="13.5" customHeight="1" x14ac:dyDescent="0.2"/>
    <row r="982" s="51" customFormat="1" ht="13.5" customHeight="1" x14ac:dyDescent="0.2"/>
    <row r="983" s="51" customFormat="1" ht="13.5" customHeight="1" x14ac:dyDescent="0.2"/>
    <row r="984" s="51" customFormat="1" ht="13.5" customHeight="1" x14ac:dyDescent="0.2"/>
    <row r="985" s="51" customFormat="1" ht="13.5" customHeight="1" x14ac:dyDescent="0.2"/>
    <row r="986" s="51" customFormat="1" ht="13.5" customHeight="1" x14ac:dyDescent="0.2"/>
    <row r="987" s="51" customFormat="1" ht="13.5" customHeight="1" x14ac:dyDescent="0.2"/>
    <row r="988" s="51" customFormat="1" ht="13.5" customHeight="1" x14ac:dyDescent="0.2"/>
    <row r="989" s="51" customFormat="1" ht="13.5" customHeight="1" x14ac:dyDescent="0.2"/>
    <row r="990" s="51" customFormat="1" ht="13.5" customHeight="1" x14ac:dyDescent="0.2"/>
    <row r="991" s="51" customFormat="1" ht="13.5" customHeight="1" x14ac:dyDescent="0.2"/>
    <row r="992" s="51" customFormat="1" ht="13.5" customHeight="1" x14ac:dyDescent="0.2"/>
    <row r="993" s="51" customFormat="1" ht="13.5" customHeight="1" x14ac:dyDescent="0.2"/>
    <row r="994" s="51" customFormat="1" ht="13.5" customHeight="1" x14ac:dyDescent="0.2"/>
    <row r="995" s="51" customFormat="1" ht="13.5" customHeight="1" x14ac:dyDescent="0.2"/>
    <row r="996" s="51" customFormat="1" ht="13.5" customHeight="1" x14ac:dyDescent="0.2"/>
    <row r="997" s="51" customFormat="1" ht="13.5" customHeight="1" x14ac:dyDescent="0.2"/>
    <row r="998" s="51" customFormat="1" ht="13.5" customHeight="1" x14ac:dyDescent="0.2"/>
    <row r="999" s="51" customFormat="1" ht="13.5" customHeight="1" x14ac:dyDescent="0.2"/>
    <row r="1000" s="51" customFormat="1" ht="13.5" customHeight="1" x14ac:dyDescent="0.2"/>
  </sheetData>
  <mergeCells count="8">
    <mergeCell ref="B26:N26"/>
    <mergeCell ref="B32:N32"/>
    <mergeCell ref="B39:N39"/>
    <mergeCell ref="B2:N3"/>
    <mergeCell ref="B4:N4"/>
    <mergeCell ref="B8:N8"/>
    <mergeCell ref="B14:N14"/>
    <mergeCell ref="B20:N20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N1000"/>
  <sheetViews>
    <sheetView showGridLines="0" workbookViewId="0">
      <selection activeCell="B23" sqref="B23:N23"/>
    </sheetView>
  </sheetViews>
  <sheetFormatPr baseColWidth="10" defaultColWidth="12.6640625" defaultRowHeight="15" customHeight="1" x14ac:dyDescent="0.2"/>
  <cols>
    <col min="1" max="1" width="3.33203125" style="51" customWidth="1"/>
    <col min="2" max="2" width="31" style="51" customWidth="1"/>
    <col min="3" max="14" width="12" style="51" customWidth="1"/>
    <col min="15" max="27" width="8.83203125" style="51" customWidth="1"/>
    <col min="28" max="16384" width="12.6640625" style="51"/>
  </cols>
  <sheetData>
    <row r="2" spans="2:14" ht="13.5" customHeight="1" x14ac:dyDescent="0.2">
      <c r="B2" s="57" t="s">
        <v>289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</row>
    <row r="3" spans="2:14" ht="13.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</row>
    <row r="4" spans="2:14" ht="13.5" customHeight="1" x14ac:dyDescent="0.2">
      <c r="B4" s="74" t="s">
        <v>290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2:14" ht="13.5" customHeight="1" x14ac:dyDescent="0.2"/>
    <row r="6" spans="2:14" ht="13.5" customHeight="1" x14ac:dyDescent="0.2">
      <c r="B6" s="50" t="s">
        <v>183</v>
      </c>
      <c r="C6" s="18">
        <v>46388</v>
      </c>
      <c r="D6" s="18">
        <v>46419</v>
      </c>
      <c r="E6" s="18">
        <v>46447</v>
      </c>
      <c r="F6" s="18">
        <v>46478</v>
      </c>
      <c r="G6" s="18">
        <v>46508</v>
      </c>
      <c r="H6" s="18">
        <v>46539</v>
      </c>
      <c r="I6" s="18">
        <v>46569</v>
      </c>
      <c r="J6" s="18">
        <v>46600</v>
      </c>
      <c r="K6" s="18">
        <v>46631</v>
      </c>
      <c r="L6" s="18">
        <v>46661</v>
      </c>
      <c r="M6" s="18">
        <v>46692</v>
      </c>
      <c r="N6" s="18">
        <v>46722</v>
      </c>
    </row>
    <row r="7" spans="2:14" ht="13.5" customHeight="1" x14ac:dyDescent="0.2"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2:14" ht="13.5" customHeight="1" x14ac:dyDescent="0.2">
      <c r="B8" s="66" t="s">
        <v>291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8"/>
    </row>
    <row r="9" spans="2:14" ht="13.5" customHeight="1" x14ac:dyDescent="0.2">
      <c r="B9" s="19" t="s">
        <v>292</v>
      </c>
      <c r="C9" s="21">
        <f>Assumptions!$F$54</f>
        <v>1200</v>
      </c>
      <c r="D9" s="31">
        <f t="shared" ref="D9:N9" si="0">C12</f>
        <v>1280</v>
      </c>
      <c r="E9" s="31">
        <f t="shared" si="0"/>
        <v>1360</v>
      </c>
      <c r="F9" s="31">
        <f t="shared" si="0"/>
        <v>1440</v>
      </c>
      <c r="G9" s="31">
        <f t="shared" si="0"/>
        <v>1520</v>
      </c>
      <c r="H9" s="31">
        <f t="shared" si="0"/>
        <v>1600</v>
      </c>
      <c r="I9" s="31">
        <f t="shared" si="0"/>
        <v>1680</v>
      </c>
      <c r="J9" s="31">
        <f t="shared" si="0"/>
        <v>1760</v>
      </c>
      <c r="K9" s="31">
        <f t="shared" si="0"/>
        <v>1840</v>
      </c>
      <c r="L9" s="31">
        <f t="shared" si="0"/>
        <v>1920</v>
      </c>
      <c r="M9" s="31">
        <f t="shared" si="0"/>
        <v>2000</v>
      </c>
      <c r="N9" s="31">
        <f t="shared" si="0"/>
        <v>2080</v>
      </c>
    </row>
    <row r="10" spans="2:14" ht="13.5" customHeight="1" x14ac:dyDescent="0.2">
      <c r="B10" s="19" t="s">
        <v>293</v>
      </c>
      <c r="C10" s="21">
        <f>Assumptions!$F$44</f>
        <v>80</v>
      </c>
      <c r="D10" s="21">
        <f>Assumptions!$F$44</f>
        <v>80</v>
      </c>
      <c r="E10" s="21">
        <f>Assumptions!$F$44</f>
        <v>80</v>
      </c>
      <c r="F10" s="21">
        <f>Assumptions!$F$44</f>
        <v>80</v>
      </c>
      <c r="G10" s="21">
        <f>Assumptions!$F$44</f>
        <v>80</v>
      </c>
      <c r="H10" s="21">
        <f>Assumptions!$F$44</f>
        <v>80</v>
      </c>
      <c r="I10" s="21">
        <f>Assumptions!$F$44</f>
        <v>80</v>
      </c>
      <c r="J10" s="21">
        <f>Assumptions!$F$44</f>
        <v>80</v>
      </c>
      <c r="K10" s="21">
        <f>Assumptions!$F$44</f>
        <v>80</v>
      </c>
      <c r="L10" s="21">
        <f>Assumptions!$F$44</f>
        <v>80</v>
      </c>
      <c r="M10" s="21">
        <f>Assumptions!$F$44</f>
        <v>80</v>
      </c>
      <c r="N10" s="21">
        <f>Assumptions!$F$44</f>
        <v>80</v>
      </c>
    </row>
    <row r="11" spans="2:14" ht="13.5" customHeight="1" x14ac:dyDescent="0.2">
      <c r="B11" s="19" t="s">
        <v>294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</row>
    <row r="12" spans="2:14" ht="13.5" customHeight="1" x14ac:dyDescent="0.2">
      <c r="B12" s="19" t="s">
        <v>295</v>
      </c>
      <c r="C12" s="31">
        <f t="shared" ref="C12:N12" si="1">C9+C10-C11</f>
        <v>1280</v>
      </c>
      <c r="D12" s="31">
        <f t="shared" si="1"/>
        <v>1360</v>
      </c>
      <c r="E12" s="31">
        <f t="shared" si="1"/>
        <v>1440</v>
      </c>
      <c r="F12" s="31">
        <f t="shared" si="1"/>
        <v>1520</v>
      </c>
      <c r="G12" s="31">
        <f t="shared" si="1"/>
        <v>1600</v>
      </c>
      <c r="H12" s="31">
        <f t="shared" si="1"/>
        <v>1680</v>
      </c>
      <c r="I12" s="31">
        <f t="shared" si="1"/>
        <v>1760</v>
      </c>
      <c r="J12" s="31">
        <f t="shared" si="1"/>
        <v>1840</v>
      </c>
      <c r="K12" s="31">
        <f t="shared" si="1"/>
        <v>1920</v>
      </c>
      <c r="L12" s="31">
        <f t="shared" si="1"/>
        <v>2000</v>
      </c>
      <c r="M12" s="31">
        <f t="shared" si="1"/>
        <v>2080</v>
      </c>
      <c r="N12" s="31">
        <f t="shared" si="1"/>
        <v>2160</v>
      </c>
    </row>
    <row r="13" spans="2:14" ht="13.5" customHeight="1" x14ac:dyDescent="0.2">
      <c r="B13" s="19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2:14" ht="13.5" customHeight="1" x14ac:dyDescent="0.2">
      <c r="B14" s="66" t="s">
        <v>296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8"/>
    </row>
    <row r="15" spans="2:14" ht="13.5" customHeight="1" x14ac:dyDescent="0.2">
      <c r="B15" s="19" t="s">
        <v>297</v>
      </c>
      <c r="C15" s="21">
        <f>Assumptions!$F$55</f>
        <v>300</v>
      </c>
      <c r="D15" s="31">
        <f t="shared" ref="D15:N15" si="2">C18</f>
        <v>327.22222222222223</v>
      </c>
      <c r="E15" s="31">
        <f t="shared" si="2"/>
        <v>356.66666666666669</v>
      </c>
      <c r="F15" s="31">
        <f t="shared" si="2"/>
        <v>388.33333333333337</v>
      </c>
      <c r="G15" s="31">
        <f t="shared" si="2"/>
        <v>422.22222222222229</v>
      </c>
      <c r="H15" s="31">
        <f t="shared" si="2"/>
        <v>458.33333333333337</v>
      </c>
      <c r="I15" s="31">
        <f t="shared" si="2"/>
        <v>496.66666666666669</v>
      </c>
      <c r="J15" s="31">
        <f t="shared" si="2"/>
        <v>537.22222222222229</v>
      </c>
      <c r="K15" s="31">
        <f t="shared" si="2"/>
        <v>580.00000000000011</v>
      </c>
      <c r="L15" s="31">
        <f t="shared" si="2"/>
        <v>625.00000000000011</v>
      </c>
      <c r="M15" s="31">
        <f t="shared" si="2"/>
        <v>672.22222222222229</v>
      </c>
      <c r="N15" s="31">
        <f t="shared" si="2"/>
        <v>721.66666666666674</v>
      </c>
    </row>
    <row r="16" spans="2:14" ht="13.5" customHeight="1" x14ac:dyDescent="0.2">
      <c r="B16" s="19" t="s">
        <v>152</v>
      </c>
      <c r="C16" s="25">
        <f>Assumptions!$F$45</f>
        <v>36</v>
      </c>
      <c r="D16" s="25">
        <f>Assumptions!$F$45</f>
        <v>36</v>
      </c>
      <c r="E16" s="25">
        <f>Assumptions!$F$45</f>
        <v>36</v>
      </c>
      <c r="F16" s="25">
        <f>Assumptions!$F$45</f>
        <v>36</v>
      </c>
      <c r="G16" s="25">
        <f>Assumptions!$F$45</f>
        <v>36</v>
      </c>
      <c r="H16" s="25">
        <f>Assumptions!$F$45</f>
        <v>36</v>
      </c>
      <c r="I16" s="25">
        <f>Assumptions!$F$45</f>
        <v>36</v>
      </c>
      <c r="J16" s="25">
        <f>Assumptions!$F$45</f>
        <v>36</v>
      </c>
      <c r="K16" s="25">
        <f>Assumptions!$F$45</f>
        <v>36</v>
      </c>
      <c r="L16" s="25">
        <f>Assumptions!$F$45</f>
        <v>36</v>
      </c>
      <c r="M16" s="25">
        <f>Assumptions!$F$45</f>
        <v>36</v>
      </c>
      <c r="N16" s="25">
        <f>Assumptions!$F$45</f>
        <v>36</v>
      </c>
    </row>
    <row r="17" spans="2:14" ht="13.5" customHeight="1" x14ac:dyDescent="0.2">
      <c r="B17" s="19" t="s">
        <v>298</v>
      </c>
      <c r="C17" s="21">
        <f>(Assumptions!$F$54-Assumptions!$F$55)/C16+SUM($C$10:C$10)/C16</f>
        <v>27.222222222222221</v>
      </c>
      <c r="D17" s="21">
        <f>(Assumptions!$F$54-Assumptions!$F$55)/D16+SUM($C$10:D$10)/D16</f>
        <v>29.444444444444443</v>
      </c>
      <c r="E17" s="21">
        <f>(Assumptions!$F$54-Assumptions!$F$55)/E16+SUM($C$10:E$10)/E16</f>
        <v>31.666666666666668</v>
      </c>
      <c r="F17" s="21">
        <f>(Assumptions!$F$54-Assumptions!$F$55)/F16+SUM($C$10:F$10)/F16</f>
        <v>33.888888888888886</v>
      </c>
      <c r="G17" s="21">
        <f>(Assumptions!$F$54-Assumptions!$F$55)/G16+SUM($C$10:G$10)/G16</f>
        <v>36.111111111111114</v>
      </c>
      <c r="H17" s="21">
        <f>(Assumptions!$F$54-Assumptions!$F$55)/H16+SUM($C$10:H$10)/H16</f>
        <v>38.333333333333336</v>
      </c>
      <c r="I17" s="21">
        <f>(Assumptions!$F$54-Assumptions!$F$55)/I16+SUM($C$10:I$10)/I16</f>
        <v>40.555555555555557</v>
      </c>
      <c r="J17" s="21">
        <f>(Assumptions!$F$54-Assumptions!$F$55)/J16+SUM($C$10:J$10)/J16</f>
        <v>42.777777777777779</v>
      </c>
      <c r="K17" s="21">
        <f>(Assumptions!$F$54-Assumptions!$F$55)/K16+SUM($C$10:K$10)/K16</f>
        <v>45</v>
      </c>
      <c r="L17" s="21">
        <f>(Assumptions!$F$54-Assumptions!$F$55)/L16+SUM($C$10:L$10)/L16</f>
        <v>47.222222222222221</v>
      </c>
      <c r="M17" s="21">
        <f>(Assumptions!$F$54-Assumptions!$F$55)/M16+SUM($C$10:M$10)/M16</f>
        <v>49.444444444444443</v>
      </c>
      <c r="N17" s="21">
        <f>(Assumptions!$F$54-Assumptions!$F$55)/N16+SUM($C$10:N$10)/N16</f>
        <v>51.666666666666671</v>
      </c>
    </row>
    <row r="18" spans="2:14" ht="13.5" customHeight="1" x14ac:dyDescent="0.2">
      <c r="B18" s="19" t="s">
        <v>299</v>
      </c>
      <c r="C18" s="31">
        <f t="shared" ref="C18:N18" si="3">C15+C17</f>
        <v>327.22222222222223</v>
      </c>
      <c r="D18" s="31">
        <f t="shared" si="3"/>
        <v>356.66666666666669</v>
      </c>
      <c r="E18" s="31">
        <f t="shared" si="3"/>
        <v>388.33333333333337</v>
      </c>
      <c r="F18" s="31">
        <f t="shared" si="3"/>
        <v>422.22222222222229</v>
      </c>
      <c r="G18" s="31">
        <f t="shared" si="3"/>
        <v>458.33333333333337</v>
      </c>
      <c r="H18" s="31">
        <f t="shared" si="3"/>
        <v>496.66666666666669</v>
      </c>
      <c r="I18" s="31">
        <f t="shared" si="3"/>
        <v>537.22222222222229</v>
      </c>
      <c r="J18" s="31">
        <f t="shared" si="3"/>
        <v>580.00000000000011</v>
      </c>
      <c r="K18" s="31">
        <f t="shared" si="3"/>
        <v>625.00000000000011</v>
      </c>
      <c r="L18" s="31">
        <f t="shared" si="3"/>
        <v>672.22222222222229</v>
      </c>
      <c r="M18" s="31">
        <f t="shared" si="3"/>
        <v>721.66666666666674</v>
      </c>
      <c r="N18" s="31">
        <f t="shared" si="3"/>
        <v>773.33333333333337</v>
      </c>
    </row>
    <row r="19" spans="2:14" ht="13.5" customHeight="1" x14ac:dyDescent="0.2">
      <c r="B19" s="22" t="s">
        <v>300</v>
      </c>
      <c r="C19" s="23">
        <f t="shared" ref="C19:N19" si="4">C12-C18</f>
        <v>952.77777777777783</v>
      </c>
      <c r="D19" s="23">
        <f t="shared" si="4"/>
        <v>1003.3333333333333</v>
      </c>
      <c r="E19" s="23">
        <f t="shared" si="4"/>
        <v>1051.6666666666665</v>
      </c>
      <c r="F19" s="23">
        <f t="shared" si="4"/>
        <v>1097.7777777777778</v>
      </c>
      <c r="G19" s="23">
        <f t="shared" si="4"/>
        <v>1141.6666666666665</v>
      </c>
      <c r="H19" s="23">
        <f t="shared" si="4"/>
        <v>1183.3333333333333</v>
      </c>
      <c r="I19" s="23">
        <f t="shared" si="4"/>
        <v>1222.7777777777778</v>
      </c>
      <c r="J19" s="23">
        <f t="shared" si="4"/>
        <v>1260</v>
      </c>
      <c r="K19" s="23">
        <f t="shared" si="4"/>
        <v>1295</v>
      </c>
      <c r="L19" s="23">
        <f t="shared" si="4"/>
        <v>1327.7777777777778</v>
      </c>
      <c r="M19" s="23">
        <f t="shared" si="4"/>
        <v>1358.3333333333333</v>
      </c>
      <c r="N19" s="23">
        <f t="shared" si="4"/>
        <v>1386.6666666666665</v>
      </c>
    </row>
    <row r="20" spans="2:14" ht="13.5" customHeight="1" x14ac:dyDescent="0.2">
      <c r="B20" s="19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2:14" ht="13.5" customHeight="1" x14ac:dyDescent="0.2">
      <c r="B21" s="66" t="s">
        <v>301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8"/>
    </row>
    <row r="22" spans="2:14" ht="13.5" customHeight="1" x14ac:dyDescent="0.2">
      <c r="B22" s="19" t="s">
        <v>302</v>
      </c>
      <c r="C22" s="21">
        <f>Assumptions!$F$54-Assumptions!$F$55</f>
        <v>900</v>
      </c>
      <c r="D22" s="31">
        <f t="shared" ref="D22:N22" si="5">C19</f>
        <v>952.77777777777783</v>
      </c>
      <c r="E22" s="31">
        <f t="shared" si="5"/>
        <v>1003.3333333333333</v>
      </c>
      <c r="F22" s="31">
        <f t="shared" si="5"/>
        <v>1051.6666666666665</v>
      </c>
      <c r="G22" s="31">
        <f t="shared" si="5"/>
        <v>1097.7777777777778</v>
      </c>
      <c r="H22" s="31">
        <f t="shared" si="5"/>
        <v>1141.6666666666665</v>
      </c>
      <c r="I22" s="31">
        <f t="shared" si="5"/>
        <v>1183.3333333333333</v>
      </c>
      <c r="J22" s="31">
        <f t="shared" si="5"/>
        <v>1222.7777777777778</v>
      </c>
      <c r="K22" s="31">
        <f t="shared" si="5"/>
        <v>1260</v>
      </c>
      <c r="L22" s="31">
        <f t="shared" si="5"/>
        <v>1295</v>
      </c>
      <c r="M22" s="31">
        <f t="shared" si="5"/>
        <v>1327.7777777777778</v>
      </c>
      <c r="N22" s="31">
        <f t="shared" si="5"/>
        <v>1358.3333333333333</v>
      </c>
    </row>
    <row r="23" spans="2:14" ht="13.5" customHeight="1" x14ac:dyDescent="0.2">
      <c r="B23" s="19" t="s">
        <v>303</v>
      </c>
      <c r="C23" s="31">
        <f t="shared" ref="C23:N23" si="6">C22+C10-C17</f>
        <v>952.77777777777783</v>
      </c>
      <c r="D23" s="31">
        <f t="shared" si="6"/>
        <v>1003.3333333333334</v>
      </c>
      <c r="E23" s="31">
        <f t="shared" si="6"/>
        <v>1051.6666666666665</v>
      </c>
      <c r="F23" s="31">
        <f t="shared" si="6"/>
        <v>1097.7777777777776</v>
      </c>
      <c r="G23" s="31">
        <f t="shared" si="6"/>
        <v>1141.6666666666667</v>
      </c>
      <c r="H23" s="31">
        <f t="shared" si="6"/>
        <v>1183.3333333333333</v>
      </c>
      <c r="I23" s="31">
        <f t="shared" si="6"/>
        <v>1222.7777777777776</v>
      </c>
      <c r="J23" s="31">
        <f t="shared" si="6"/>
        <v>1260</v>
      </c>
      <c r="K23" s="31">
        <f t="shared" si="6"/>
        <v>1295</v>
      </c>
      <c r="L23" s="31">
        <f t="shared" si="6"/>
        <v>1327.7777777777778</v>
      </c>
      <c r="M23" s="31">
        <f t="shared" si="6"/>
        <v>1358.3333333333335</v>
      </c>
      <c r="N23" s="31">
        <f t="shared" si="6"/>
        <v>1386.6666666666665</v>
      </c>
    </row>
    <row r="24" spans="2:14" ht="13.5" customHeight="1" x14ac:dyDescent="0.2">
      <c r="B24" s="19" t="s">
        <v>304</v>
      </c>
      <c r="C24" s="31">
        <f t="shared" ref="C24:N24" si="7">ROUND(C19-C23,2)</f>
        <v>0</v>
      </c>
      <c r="D24" s="31">
        <f t="shared" si="7"/>
        <v>0</v>
      </c>
      <c r="E24" s="31">
        <f t="shared" si="7"/>
        <v>0</v>
      </c>
      <c r="F24" s="31">
        <f t="shared" si="7"/>
        <v>0</v>
      </c>
      <c r="G24" s="31">
        <f t="shared" si="7"/>
        <v>0</v>
      </c>
      <c r="H24" s="31">
        <f t="shared" si="7"/>
        <v>0</v>
      </c>
      <c r="I24" s="31">
        <f t="shared" si="7"/>
        <v>0</v>
      </c>
      <c r="J24" s="31">
        <f t="shared" si="7"/>
        <v>0</v>
      </c>
      <c r="K24" s="31">
        <f t="shared" si="7"/>
        <v>0</v>
      </c>
      <c r="L24" s="31">
        <f t="shared" si="7"/>
        <v>0</v>
      </c>
      <c r="M24" s="31">
        <f t="shared" si="7"/>
        <v>0</v>
      </c>
      <c r="N24" s="31">
        <f t="shared" si="7"/>
        <v>0</v>
      </c>
    </row>
    <row r="25" spans="2:14" ht="13.5" customHeight="1" x14ac:dyDescent="0.2">
      <c r="B25" s="1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2:14" ht="13.5" customHeight="1" x14ac:dyDescent="0.2">
      <c r="B26" s="1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2:14" ht="13.5" customHeight="1" x14ac:dyDescent="0.2">
      <c r="B27" s="1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2:14" ht="13.5" customHeight="1" x14ac:dyDescent="0.2">
      <c r="B28" s="1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  <row r="29" spans="2:14" ht="13.5" customHeight="1" x14ac:dyDescent="0.2"/>
    <row r="30" spans="2:14" ht="13.5" customHeight="1" x14ac:dyDescent="0.2"/>
    <row r="31" spans="2:14" ht="13.5" customHeight="1" x14ac:dyDescent="0.2"/>
    <row r="32" spans="2:14" ht="13.5" customHeight="1" x14ac:dyDescent="0.2"/>
    <row r="33" s="51" customFormat="1" ht="13.5" customHeight="1" x14ac:dyDescent="0.2"/>
    <row r="34" s="51" customFormat="1" ht="13.5" customHeight="1" x14ac:dyDescent="0.2"/>
    <row r="35" s="51" customFormat="1" ht="13.5" customHeight="1" x14ac:dyDescent="0.2"/>
    <row r="36" s="51" customFormat="1" ht="13.5" customHeight="1" x14ac:dyDescent="0.2"/>
    <row r="37" s="51" customFormat="1" ht="13.5" customHeight="1" x14ac:dyDescent="0.2"/>
    <row r="38" s="51" customFormat="1" ht="13.5" customHeight="1" x14ac:dyDescent="0.2"/>
    <row r="39" s="51" customFormat="1" ht="13.5" customHeight="1" x14ac:dyDescent="0.2"/>
    <row r="40" s="51" customFormat="1" ht="13.5" customHeight="1" x14ac:dyDescent="0.2"/>
    <row r="41" s="51" customFormat="1" ht="13.5" customHeight="1" x14ac:dyDescent="0.2"/>
    <row r="42" s="51" customFormat="1" ht="13.5" customHeight="1" x14ac:dyDescent="0.2"/>
    <row r="43" s="51" customFormat="1" ht="13.5" customHeight="1" x14ac:dyDescent="0.2"/>
    <row r="44" s="51" customFormat="1" ht="13.5" customHeight="1" x14ac:dyDescent="0.2"/>
    <row r="45" s="51" customFormat="1" ht="13.5" customHeight="1" x14ac:dyDescent="0.2"/>
    <row r="46" s="51" customFormat="1" ht="13.5" customHeight="1" x14ac:dyDescent="0.2"/>
    <row r="47" s="51" customFormat="1" ht="13.5" customHeight="1" x14ac:dyDescent="0.2"/>
    <row r="48" s="51" customFormat="1" ht="13.5" customHeight="1" x14ac:dyDescent="0.2"/>
    <row r="49" s="51" customFormat="1" ht="13.5" customHeight="1" x14ac:dyDescent="0.2"/>
    <row r="50" s="51" customFormat="1" ht="13.5" customHeight="1" x14ac:dyDescent="0.2"/>
    <row r="51" s="51" customFormat="1" ht="13.5" customHeight="1" x14ac:dyDescent="0.2"/>
    <row r="52" s="51" customFormat="1" ht="13.5" customHeight="1" x14ac:dyDescent="0.2"/>
    <row r="53" s="51" customFormat="1" ht="13.5" customHeight="1" x14ac:dyDescent="0.2"/>
    <row r="54" s="51" customFormat="1" ht="13.5" customHeight="1" x14ac:dyDescent="0.2"/>
    <row r="55" s="51" customFormat="1" ht="13.5" customHeight="1" x14ac:dyDescent="0.2"/>
    <row r="56" s="51" customFormat="1" ht="13.5" customHeight="1" x14ac:dyDescent="0.2"/>
    <row r="57" s="51" customFormat="1" ht="13.5" customHeight="1" x14ac:dyDescent="0.2"/>
    <row r="58" s="51" customFormat="1" ht="13.5" customHeight="1" x14ac:dyDescent="0.2"/>
    <row r="59" s="51" customFormat="1" ht="13.5" customHeight="1" x14ac:dyDescent="0.2"/>
    <row r="60" s="51" customFormat="1" ht="13.5" customHeight="1" x14ac:dyDescent="0.2"/>
    <row r="61" s="51" customFormat="1" ht="13.5" customHeight="1" x14ac:dyDescent="0.2"/>
    <row r="62" s="51" customFormat="1" ht="13.5" customHeight="1" x14ac:dyDescent="0.2"/>
    <row r="63" s="51" customFormat="1" ht="13.5" customHeight="1" x14ac:dyDescent="0.2"/>
    <row r="64" s="51" customFormat="1" ht="13.5" customHeight="1" x14ac:dyDescent="0.2"/>
    <row r="65" s="51" customFormat="1" ht="13.5" customHeight="1" x14ac:dyDescent="0.2"/>
    <row r="66" s="51" customFormat="1" ht="13.5" customHeight="1" x14ac:dyDescent="0.2"/>
    <row r="67" s="51" customFormat="1" ht="13.5" customHeight="1" x14ac:dyDescent="0.2"/>
    <row r="68" s="51" customFormat="1" ht="13.5" customHeight="1" x14ac:dyDescent="0.2"/>
    <row r="69" s="51" customFormat="1" ht="13.5" customHeight="1" x14ac:dyDescent="0.2"/>
    <row r="70" s="51" customFormat="1" ht="13.5" customHeight="1" x14ac:dyDescent="0.2"/>
    <row r="71" s="51" customFormat="1" ht="13.5" customHeight="1" x14ac:dyDescent="0.2"/>
    <row r="72" s="51" customFormat="1" ht="13.5" customHeight="1" x14ac:dyDescent="0.2"/>
    <row r="73" s="51" customFormat="1" ht="13.5" customHeight="1" x14ac:dyDescent="0.2"/>
    <row r="74" s="51" customFormat="1" ht="13.5" customHeight="1" x14ac:dyDescent="0.2"/>
    <row r="75" s="51" customFormat="1" ht="13.5" customHeight="1" x14ac:dyDescent="0.2"/>
    <row r="76" s="51" customFormat="1" ht="13.5" customHeight="1" x14ac:dyDescent="0.2"/>
    <row r="77" s="51" customFormat="1" ht="13.5" customHeight="1" x14ac:dyDescent="0.2"/>
    <row r="78" s="51" customFormat="1" ht="13.5" customHeight="1" x14ac:dyDescent="0.2"/>
    <row r="79" s="51" customFormat="1" ht="13.5" customHeight="1" x14ac:dyDescent="0.2"/>
    <row r="80" s="51" customFormat="1" ht="13.5" customHeight="1" x14ac:dyDescent="0.2"/>
    <row r="81" s="51" customFormat="1" ht="13.5" customHeight="1" x14ac:dyDescent="0.2"/>
    <row r="82" s="51" customFormat="1" ht="13.5" customHeight="1" x14ac:dyDescent="0.2"/>
    <row r="83" s="51" customFormat="1" ht="13.5" customHeight="1" x14ac:dyDescent="0.2"/>
    <row r="84" s="51" customFormat="1" ht="13.5" customHeight="1" x14ac:dyDescent="0.2"/>
    <row r="85" s="51" customFormat="1" ht="13.5" customHeight="1" x14ac:dyDescent="0.2"/>
    <row r="86" s="51" customFormat="1" ht="13.5" customHeight="1" x14ac:dyDescent="0.2"/>
    <row r="87" s="51" customFormat="1" ht="13.5" customHeight="1" x14ac:dyDescent="0.2"/>
    <row r="88" s="51" customFormat="1" ht="13.5" customHeight="1" x14ac:dyDescent="0.2"/>
    <row r="89" s="51" customFormat="1" ht="13.5" customHeight="1" x14ac:dyDescent="0.2"/>
    <row r="90" s="51" customFormat="1" ht="13.5" customHeight="1" x14ac:dyDescent="0.2"/>
    <row r="91" s="51" customFormat="1" ht="13.5" customHeight="1" x14ac:dyDescent="0.2"/>
    <row r="92" s="51" customFormat="1" ht="13.5" customHeight="1" x14ac:dyDescent="0.2"/>
    <row r="93" s="51" customFormat="1" ht="13.5" customHeight="1" x14ac:dyDescent="0.2"/>
    <row r="94" s="51" customFormat="1" ht="13.5" customHeight="1" x14ac:dyDescent="0.2"/>
    <row r="95" s="51" customFormat="1" ht="13.5" customHeight="1" x14ac:dyDescent="0.2"/>
    <row r="96" s="51" customFormat="1" ht="13.5" customHeight="1" x14ac:dyDescent="0.2"/>
    <row r="97" s="51" customFormat="1" ht="13.5" customHeight="1" x14ac:dyDescent="0.2"/>
    <row r="98" s="51" customFormat="1" ht="13.5" customHeight="1" x14ac:dyDescent="0.2"/>
    <row r="99" s="51" customFormat="1" ht="13.5" customHeight="1" x14ac:dyDescent="0.2"/>
    <row r="100" s="51" customFormat="1" ht="13.5" customHeight="1" x14ac:dyDescent="0.2"/>
    <row r="101" s="51" customFormat="1" ht="13.5" customHeight="1" x14ac:dyDescent="0.2"/>
    <row r="102" s="51" customFormat="1" ht="13.5" customHeight="1" x14ac:dyDescent="0.2"/>
    <row r="103" s="51" customFormat="1" ht="13.5" customHeight="1" x14ac:dyDescent="0.2"/>
    <row r="104" s="51" customFormat="1" ht="13.5" customHeight="1" x14ac:dyDescent="0.2"/>
    <row r="105" s="51" customFormat="1" ht="13.5" customHeight="1" x14ac:dyDescent="0.2"/>
    <row r="106" s="51" customFormat="1" ht="13.5" customHeight="1" x14ac:dyDescent="0.2"/>
    <row r="107" s="51" customFormat="1" ht="13.5" customHeight="1" x14ac:dyDescent="0.2"/>
    <row r="108" s="51" customFormat="1" ht="13.5" customHeight="1" x14ac:dyDescent="0.2"/>
    <row r="109" s="51" customFormat="1" ht="13.5" customHeight="1" x14ac:dyDescent="0.2"/>
    <row r="110" s="51" customFormat="1" ht="13.5" customHeight="1" x14ac:dyDescent="0.2"/>
    <row r="111" s="51" customFormat="1" ht="13.5" customHeight="1" x14ac:dyDescent="0.2"/>
    <row r="112" s="51" customFormat="1" ht="13.5" customHeight="1" x14ac:dyDescent="0.2"/>
    <row r="113" s="51" customFormat="1" ht="13.5" customHeight="1" x14ac:dyDescent="0.2"/>
    <row r="114" s="51" customFormat="1" ht="13.5" customHeight="1" x14ac:dyDescent="0.2"/>
    <row r="115" s="51" customFormat="1" ht="13.5" customHeight="1" x14ac:dyDescent="0.2"/>
    <row r="116" s="51" customFormat="1" ht="13.5" customHeight="1" x14ac:dyDescent="0.2"/>
    <row r="117" s="51" customFormat="1" ht="13.5" customHeight="1" x14ac:dyDescent="0.2"/>
    <row r="118" s="51" customFormat="1" ht="13.5" customHeight="1" x14ac:dyDescent="0.2"/>
    <row r="119" s="51" customFormat="1" ht="13.5" customHeight="1" x14ac:dyDescent="0.2"/>
    <row r="120" s="51" customFormat="1" ht="13.5" customHeight="1" x14ac:dyDescent="0.2"/>
    <row r="121" s="51" customFormat="1" ht="13.5" customHeight="1" x14ac:dyDescent="0.2"/>
    <row r="122" s="51" customFormat="1" ht="13.5" customHeight="1" x14ac:dyDescent="0.2"/>
    <row r="123" s="51" customFormat="1" ht="13.5" customHeight="1" x14ac:dyDescent="0.2"/>
    <row r="124" s="51" customFormat="1" ht="13.5" customHeight="1" x14ac:dyDescent="0.2"/>
    <row r="125" s="51" customFormat="1" ht="13.5" customHeight="1" x14ac:dyDescent="0.2"/>
    <row r="126" s="51" customFormat="1" ht="13.5" customHeight="1" x14ac:dyDescent="0.2"/>
    <row r="127" s="51" customFormat="1" ht="13.5" customHeight="1" x14ac:dyDescent="0.2"/>
    <row r="128" s="51" customFormat="1" ht="13.5" customHeight="1" x14ac:dyDescent="0.2"/>
    <row r="129" s="51" customFormat="1" ht="13.5" customHeight="1" x14ac:dyDescent="0.2"/>
    <row r="130" s="51" customFormat="1" ht="13.5" customHeight="1" x14ac:dyDescent="0.2"/>
    <row r="131" s="51" customFormat="1" ht="13.5" customHeight="1" x14ac:dyDescent="0.2"/>
    <row r="132" s="51" customFormat="1" ht="13.5" customHeight="1" x14ac:dyDescent="0.2"/>
    <row r="133" s="51" customFormat="1" ht="13.5" customHeight="1" x14ac:dyDescent="0.2"/>
    <row r="134" s="51" customFormat="1" ht="13.5" customHeight="1" x14ac:dyDescent="0.2"/>
    <row r="135" s="51" customFormat="1" ht="13.5" customHeight="1" x14ac:dyDescent="0.2"/>
    <row r="136" s="51" customFormat="1" ht="13.5" customHeight="1" x14ac:dyDescent="0.2"/>
    <row r="137" s="51" customFormat="1" ht="13.5" customHeight="1" x14ac:dyDescent="0.2"/>
    <row r="138" s="51" customFormat="1" ht="13.5" customHeight="1" x14ac:dyDescent="0.2"/>
    <row r="139" s="51" customFormat="1" ht="13.5" customHeight="1" x14ac:dyDescent="0.2"/>
    <row r="140" s="51" customFormat="1" ht="13.5" customHeight="1" x14ac:dyDescent="0.2"/>
    <row r="141" s="51" customFormat="1" ht="13.5" customHeight="1" x14ac:dyDescent="0.2"/>
    <row r="142" s="51" customFormat="1" ht="13.5" customHeight="1" x14ac:dyDescent="0.2"/>
    <row r="143" s="51" customFormat="1" ht="13.5" customHeight="1" x14ac:dyDescent="0.2"/>
    <row r="144" s="51" customFormat="1" ht="13.5" customHeight="1" x14ac:dyDescent="0.2"/>
    <row r="145" s="51" customFormat="1" ht="13.5" customHeight="1" x14ac:dyDescent="0.2"/>
    <row r="146" s="51" customFormat="1" ht="13.5" customHeight="1" x14ac:dyDescent="0.2"/>
    <row r="147" s="51" customFormat="1" ht="13.5" customHeight="1" x14ac:dyDescent="0.2"/>
    <row r="148" s="51" customFormat="1" ht="13.5" customHeight="1" x14ac:dyDescent="0.2"/>
    <row r="149" s="51" customFormat="1" ht="13.5" customHeight="1" x14ac:dyDescent="0.2"/>
    <row r="150" s="51" customFormat="1" ht="13.5" customHeight="1" x14ac:dyDescent="0.2"/>
    <row r="151" s="51" customFormat="1" ht="13.5" customHeight="1" x14ac:dyDescent="0.2"/>
    <row r="152" s="51" customFormat="1" ht="13.5" customHeight="1" x14ac:dyDescent="0.2"/>
    <row r="153" s="51" customFormat="1" ht="13.5" customHeight="1" x14ac:dyDescent="0.2"/>
    <row r="154" s="51" customFormat="1" ht="13.5" customHeight="1" x14ac:dyDescent="0.2"/>
    <row r="155" s="51" customFormat="1" ht="13.5" customHeight="1" x14ac:dyDescent="0.2"/>
    <row r="156" s="51" customFormat="1" ht="13.5" customHeight="1" x14ac:dyDescent="0.2"/>
    <row r="157" s="51" customFormat="1" ht="13.5" customHeight="1" x14ac:dyDescent="0.2"/>
    <row r="158" s="51" customFormat="1" ht="13.5" customHeight="1" x14ac:dyDescent="0.2"/>
    <row r="159" s="51" customFormat="1" ht="13.5" customHeight="1" x14ac:dyDescent="0.2"/>
    <row r="160" s="51" customFormat="1" ht="13.5" customHeight="1" x14ac:dyDescent="0.2"/>
    <row r="161" s="51" customFormat="1" ht="13.5" customHeight="1" x14ac:dyDescent="0.2"/>
    <row r="162" s="51" customFormat="1" ht="13.5" customHeight="1" x14ac:dyDescent="0.2"/>
    <row r="163" s="51" customFormat="1" ht="13.5" customHeight="1" x14ac:dyDescent="0.2"/>
    <row r="164" s="51" customFormat="1" ht="13.5" customHeight="1" x14ac:dyDescent="0.2"/>
    <row r="165" s="51" customFormat="1" ht="13.5" customHeight="1" x14ac:dyDescent="0.2"/>
    <row r="166" s="51" customFormat="1" ht="13.5" customHeight="1" x14ac:dyDescent="0.2"/>
    <row r="167" s="51" customFormat="1" ht="13.5" customHeight="1" x14ac:dyDescent="0.2"/>
    <row r="168" s="51" customFormat="1" ht="13.5" customHeight="1" x14ac:dyDescent="0.2"/>
    <row r="169" s="51" customFormat="1" ht="13.5" customHeight="1" x14ac:dyDescent="0.2"/>
    <row r="170" s="51" customFormat="1" ht="13.5" customHeight="1" x14ac:dyDescent="0.2"/>
    <row r="171" s="51" customFormat="1" ht="13.5" customHeight="1" x14ac:dyDescent="0.2"/>
    <row r="172" s="51" customFormat="1" ht="13.5" customHeight="1" x14ac:dyDescent="0.2"/>
    <row r="173" s="51" customFormat="1" ht="13.5" customHeight="1" x14ac:dyDescent="0.2"/>
    <row r="174" s="51" customFormat="1" ht="13.5" customHeight="1" x14ac:dyDescent="0.2"/>
    <row r="175" s="51" customFormat="1" ht="13.5" customHeight="1" x14ac:dyDescent="0.2"/>
    <row r="176" s="51" customFormat="1" ht="13.5" customHeight="1" x14ac:dyDescent="0.2"/>
    <row r="177" s="51" customFormat="1" ht="13.5" customHeight="1" x14ac:dyDescent="0.2"/>
    <row r="178" s="51" customFormat="1" ht="13.5" customHeight="1" x14ac:dyDescent="0.2"/>
    <row r="179" s="51" customFormat="1" ht="13.5" customHeight="1" x14ac:dyDescent="0.2"/>
    <row r="180" s="51" customFormat="1" ht="13.5" customHeight="1" x14ac:dyDescent="0.2"/>
    <row r="181" s="51" customFormat="1" ht="13.5" customHeight="1" x14ac:dyDescent="0.2"/>
    <row r="182" s="51" customFormat="1" ht="13.5" customHeight="1" x14ac:dyDescent="0.2"/>
    <row r="183" s="51" customFormat="1" ht="13.5" customHeight="1" x14ac:dyDescent="0.2"/>
    <row r="184" s="51" customFormat="1" ht="13.5" customHeight="1" x14ac:dyDescent="0.2"/>
    <row r="185" s="51" customFormat="1" ht="13.5" customHeight="1" x14ac:dyDescent="0.2"/>
    <row r="186" s="51" customFormat="1" ht="13.5" customHeight="1" x14ac:dyDescent="0.2"/>
    <row r="187" s="51" customFormat="1" ht="13.5" customHeight="1" x14ac:dyDescent="0.2"/>
    <row r="188" s="51" customFormat="1" ht="13.5" customHeight="1" x14ac:dyDescent="0.2"/>
    <row r="189" s="51" customFormat="1" ht="13.5" customHeight="1" x14ac:dyDescent="0.2"/>
    <row r="190" s="51" customFormat="1" ht="13.5" customHeight="1" x14ac:dyDescent="0.2"/>
    <row r="191" s="51" customFormat="1" ht="13.5" customHeight="1" x14ac:dyDescent="0.2"/>
    <row r="192" s="51" customFormat="1" ht="13.5" customHeight="1" x14ac:dyDescent="0.2"/>
    <row r="193" s="51" customFormat="1" ht="13.5" customHeight="1" x14ac:dyDescent="0.2"/>
    <row r="194" s="51" customFormat="1" ht="13.5" customHeight="1" x14ac:dyDescent="0.2"/>
    <row r="195" s="51" customFormat="1" ht="13.5" customHeight="1" x14ac:dyDescent="0.2"/>
    <row r="196" s="51" customFormat="1" ht="13.5" customHeight="1" x14ac:dyDescent="0.2"/>
    <row r="197" s="51" customFormat="1" ht="13.5" customHeight="1" x14ac:dyDescent="0.2"/>
    <row r="198" s="51" customFormat="1" ht="13.5" customHeight="1" x14ac:dyDescent="0.2"/>
    <row r="199" s="51" customFormat="1" ht="13.5" customHeight="1" x14ac:dyDescent="0.2"/>
    <row r="200" s="51" customFormat="1" ht="13.5" customHeight="1" x14ac:dyDescent="0.2"/>
    <row r="201" s="51" customFormat="1" ht="13.5" customHeight="1" x14ac:dyDescent="0.2"/>
    <row r="202" s="51" customFormat="1" ht="13.5" customHeight="1" x14ac:dyDescent="0.2"/>
    <row r="203" s="51" customFormat="1" ht="13.5" customHeight="1" x14ac:dyDescent="0.2"/>
    <row r="204" s="51" customFormat="1" ht="13.5" customHeight="1" x14ac:dyDescent="0.2"/>
    <row r="205" s="51" customFormat="1" ht="13.5" customHeight="1" x14ac:dyDescent="0.2"/>
    <row r="206" s="51" customFormat="1" ht="13.5" customHeight="1" x14ac:dyDescent="0.2"/>
    <row r="207" s="51" customFormat="1" ht="13.5" customHeight="1" x14ac:dyDescent="0.2"/>
    <row r="208" s="51" customFormat="1" ht="13.5" customHeight="1" x14ac:dyDescent="0.2"/>
    <row r="209" s="51" customFormat="1" ht="13.5" customHeight="1" x14ac:dyDescent="0.2"/>
    <row r="210" s="51" customFormat="1" ht="13.5" customHeight="1" x14ac:dyDescent="0.2"/>
    <row r="211" s="51" customFormat="1" ht="13.5" customHeight="1" x14ac:dyDescent="0.2"/>
    <row r="212" s="51" customFormat="1" ht="13.5" customHeight="1" x14ac:dyDescent="0.2"/>
    <row r="213" s="51" customFormat="1" ht="13.5" customHeight="1" x14ac:dyDescent="0.2"/>
    <row r="214" s="51" customFormat="1" ht="13.5" customHeight="1" x14ac:dyDescent="0.2"/>
    <row r="215" s="51" customFormat="1" ht="13.5" customHeight="1" x14ac:dyDescent="0.2"/>
    <row r="216" s="51" customFormat="1" ht="13.5" customHeight="1" x14ac:dyDescent="0.2"/>
    <row r="217" s="51" customFormat="1" ht="13.5" customHeight="1" x14ac:dyDescent="0.2"/>
    <row r="218" s="51" customFormat="1" ht="13.5" customHeight="1" x14ac:dyDescent="0.2"/>
    <row r="219" s="51" customFormat="1" ht="13.5" customHeight="1" x14ac:dyDescent="0.2"/>
    <row r="220" s="51" customFormat="1" ht="13.5" customHeight="1" x14ac:dyDescent="0.2"/>
    <row r="221" s="51" customFormat="1" ht="13.5" customHeight="1" x14ac:dyDescent="0.2"/>
    <row r="222" s="51" customFormat="1" ht="13.5" customHeight="1" x14ac:dyDescent="0.2"/>
    <row r="223" s="51" customFormat="1" ht="13.5" customHeight="1" x14ac:dyDescent="0.2"/>
    <row r="224" s="51" customFormat="1" ht="13.5" customHeight="1" x14ac:dyDescent="0.2"/>
    <row r="225" s="51" customFormat="1" ht="13.5" customHeight="1" x14ac:dyDescent="0.2"/>
    <row r="226" s="51" customFormat="1" ht="13.5" customHeight="1" x14ac:dyDescent="0.2"/>
    <row r="227" s="51" customFormat="1" ht="13.5" customHeight="1" x14ac:dyDescent="0.2"/>
    <row r="228" s="51" customFormat="1" ht="13.5" customHeight="1" x14ac:dyDescent="0.2"/>
    <row r="229" s="51" customFormat="1" ht="13.5" customHeight="1" x14ac:dyDescent="0.2"/>
    <row r="230" s="51" customFormat="1" ht="13.5" customHeight="1" x14ac:dyDescent="0.2"/>
    <row r="231" s="51" customFormat="1" ht="13.5" customHeight="1" x14ac:dyDescent="0.2"/>
    <row r="232" s="51" customFormat="1" ht="13.5" customHeight="1" x14ac:dyDescent="0.2"/>
    <row r="233" s="51" customFormat="1" ht="13.5" customHeight="1" x14ac:dyDescent="0.2"/>
    <row r="234" s="51" customFormat="1" ht="13.5" customHeight="1" x14ac:dyDescent="0.2"/>
    <row r="235" s="51" customFormat="1" ht="13.5" customHeight="1" x14ac:dyDescent="0.2"/>
    <row r="236" s="51" customFormat="1" ht="13.5" customHeight="1" x14ac:dyDescent="0.2"/>
    <row r="237" s="51" customFormat="1" ht="13.5" customHeight="1" x14ac:dyDescent="0.2"/>
    <row r="238" s="51" customFormat="1" ht="13.5" customHeight="1" x14ac:dyDescent="0.2"/>
    <row r="239" s="51" customFormat="1" ht="13.5" customHeight="1" x14ac:dyDescent="0.2"/>
    <row r="240" s="51" customFormat="1" ht="13.5" customHeight="1" x14ac:dyDescent="0.2"/>
    <row r="241" s="51" customFormat="1" ht="13.5" customHeight="1" x14ac:dyDescent="0.2"/>
    <row r="242" s="51" customFormat="1" ht="13.5" customHeight="1" x14ac:dyDescent="0.2"/>
    <row r="243" s="51" customFormat="1" ht="13.5" customHeight="1" x14ac:dyDescent="0.2"/>
    <row r="244" s="51" customFormat="1" ht="13.5" customHeight="1" x14ac:dyDescent="0.2"/>
    <row r="245" s="51" customFormat="1" ht="13.5" customHeight="1" x14ac:dyDescent="0.2"/>
    <row r="246" s="51" customFormat="1" ht="13.5" customHeight="1" x14ac:dyDescent="0.2"/>
    <row r="247" s="51" customFormat="1" ht="13.5" customHeight="1" x14ac:dyDescent="0.2"/>
    <row r="248" s="51" customFormat="1" ht="13.5" customHeight="1" x14ac:dyDescent="0.2"/>
    <row r="249" s="51" customFormat="1" ht="13.5" customHeight="1" x14ac:dyDescent="0.2"/>
    <row r="250" s="51" customFormat="1" ht="13.5" customHeight="1" x14ac:dyDescent="0.2"/>
    <row r="251" s="51" customFormat="1" ht="13.5" customHeight="1" x14ac:dyDescent="0.2"/>
    <row r="252" s="51" customFormat="1" ht="13.5" customHeight="1" x14ac:dyDescent="0.2"/>
    <row r="253" s="51" customFormat="1" ht="13.5" customHeight="1" x14ac:dyDescent="0.2"/>
    <row r="254" s="51" customFormat="1" ht="13.5" customHeight="1" x14ac:dyDescent="0.2"/>
    <row r="255" s="51" customFormat="1" ht="13.5" customHeight="1" x14ac:dyDescent="0.2"/>
    <row r="256" s="51" customFormat="1" ht="13.5" customHeight="1" x14ac:dyDescent="0.2"/>
    <row r="257" s="51" customFormat="1" ht="13.5" customHeight="1" x14ac:dyDescent="0.2"/>
    <row r="258" s="51" customFormat="1" ht="13.5" customHeight="1" x14ac:dyDescent="0.2"/>
    <row r="259" s="51" customFormat="1" ht="13.5" customHeight="1" x14ac:dyDescent="0.2"/>
    <row r="260" s="51" customFormat="1" ht="13.5" customHeight="1" x14ac:dyDescent="0.2"/>
    <row r="261" s="51" customFormat="1" ht="13.5" customHeight="1" x14ac:dyDescent="0.2"/>
    <row r="262" s="51" customFormat="1" ht="13.5" customHeight="1" x14ac:dyDescent="0.2"/>
    <row r="263" s="51" customFormat="1" ht="13.5" customHeight="1" x14ac:dyDescent="0.2"/>
    <row r="264" s="51" customFormat="1" ht="13.5" customHeight="1" x14ac:dyDescent="0.2"/>
    <row r="265" s="51" customFormat="1" ht="13.5" customHeight="1" x14ac:dyDescent="0.2"/>
    <row r="266" s="51" customFormat="1" ht="13.5" customHeight="1" x14ac:dyDescent="0.2"/>
    <row r="267" s="51" customFormat="1" ht="13.5" customHeight="1" x14ac:dyDescent="0.2"/>
    <row r="268" s="51" customFormat="1" ht="13.5" customHeight="1" x14ac:dyDescent="0.2"/>
    <row r="269" s="51" customFormat="1" ht="13.5" customHeight="1" x14ac:dyDescent="0.2"/>
    <row r="270" s="51" customFormat="1" ht="13.5" customHeight="1" x14ac:dyDescent="0.2"/>
    <row r="271" s="51" customFormat="1" ht="13.5" customHeight="1" x14ac:dyDescent="0.2"/>
    <row r="272" s="51" customFormat="1" ht="13.5" customHeight="1" x14ac:dyDescent="0.2"/>
    <row r="273" s="51" customFormat="1" ht="13.5" customHeight="1" x14ac:dyDescent="0.2"/>
    <row r="274" s="51" customFormat="1" ht="13.5" customHeight="1" x14ac:dyDescent="0.2"/>
    <row r="275" s="51" customFormat="1" ht="13.5" customHeight="1" x14ac:dyDescent="0.2"/>
    <row r="276" s="51" customFormat="1" ht="13.5" customHeight="1" x14ac:dyDescent="0.2"/>
    <row r="277" s="51" customFormat="1" ht="13.5" customHeight="1" x14ac:dyDescent="0.2"/>
    <row r="278" s="51" customFormat="1" ht="13.5" customHeight="1" x14ac:dyDescent="0.2"/>
    <row r="279" s="51" customFormat="1" ht="13.5" customHeight="1" x14ac:dyDescent="0.2"/>
    <row r="280" s="51" customFormat="1" ht="13.5" customHeight="1" x14ac:dyDescent="0.2"/>
    <row r="281" s="51" customFormat="1" ht="13.5" customHeight="1" x14ac:dyDescent="0.2"/>
    <row r="282" s="51" customFormat="1" ht="13.5" customHeight="1" x14ac:dyDescent="0.2"/>
    <row r="283" s="51" customFormat="1" ht="13.5" customHeight="1" x14ac:dyDescent="0.2"/>
    <row r="284" s="51" customFormat="1" ht="13.5" customHeight="1" x14ac:dyDescent="0.2"/>
    <row r="285" s="51" customFormat="1" ht="13.5" customHeight="1" x14ac:dyDescent="0.2"/>
    <row r="286" s="51" customFormat="1" ht="13.5" customHeight="1" x14ac:dyDescent="0.2"/>
    <row r="287" s="51" customFormat="1" ht="13.5" customHeight="1" x14ac:dyDescent="0.2"/>
    <row r="288" s="51" customFormat="1" ht="13.5" customHeight="1" x14ac:dyDescent="0.2"/>
    <row r="289" s="51" customFormat="1" ht="13.5" customHeight="1" x14ac:dyDescent="0.2"/>
    <row r="290" s="51" customFormat="1" ht="13.5" customHeight="1" x14ac:dyDescent="0.2"/>
    <row r="291" s="51" customFormat="1" ht="13.5" customHeight="1" x14ac:dyDescent="0.2"/>
    <row r="292" s="51" customFormat="1" ht="13.5" customHeight="1" x14ac:dyDescent="0.2"/>
    <row r="293" s="51" customFormat="1" ht="13.5" customHeight="1" x14ac:dyDescent="0.2"/>
    <row r="294" s="51" customFormat="1" ht="13.5" customHeight="1" x14ac:dyDescent="0.2"/>
    <row r="295" s="51" customFormat="1" ht="13.5" customHeight="1" x14ac:dyDescent="0.2"/>
    <row r="296" s="51" customFormat="1" ht="13.5" customHeight="1" x14ac:dyDescent="0.2"/>
    <row r="297" s="51" customFormat="1" ht="13.5" customHeight="1" x14ac:dyDescent="0.2"/>
    <row r="298" s="51" customFormat="1" ht="13.5" customHeight="1" x14ac:dyDescent="0.2"/>
    <row r="299" s="51" customFormat="1" ht="13.5" customHeight="1" x14ac:dyDescent="0.2"/>
    <row r="300" s="51" customFormat="1" ht="13.5" customHeight="1" x14ac:dyDescent="0.2"/>
    <row r="301" s="51" customFormat="1" ht="13.5" customHeight="1" x14ac:dyDescent="0.2"/>
    <row r="302" s="51" customFormat="1" ht="13.5" customHeight="1" x14ac:dyDescent="0.2"/>
    <row r="303" s="51" customFormat="1" ht="13.5" customHeight="1" x14ac:dyDescent="0.2"/>
    <row r="304" s="51" customFormat="1" ht="13.5" customHeight="1" x14ac:dyDescent="0.2"/>
    <row r="305" s="51" customFormat="1" ht="13.5" customHeight="1" x14ac:dyDescent="0.2"/>
    <row r="306" s="51" customFormat="1" ht="13.5" customHeight="1" x14ac:dyDescent="0.2"/>
    <row r="307" s="51" customFormat="1" ht="13.5" customHeight="1" x14ac:dyDescent="0.2"/>
    <row r="308" s="51" customFormat="1" ht="13.5" customHeight="1" x14ac:dyDescent="0.2"/>
    <row r="309" s="51" customFormat="1" ht="13.5" customHeight="1" x14ac:dyDescent="0.2"/>
    <row r="310" s="51" customFormat="1" ht="13.5" customHeight="1" x14ac:dyDescent="0.2"/>
    <row r="311" s="51" customFormat="1" ht="13.5" customHeight="1" x14ac:dyDescent="0.2"/>
    <row r="312" s="51" customFormat="1" ht="13.5" customHeight="1" x14ac:dyDescent="0.2"/>
    <row r="313" s="51" customFormat="1" ht="13.5" customHeight="1" x14ac:dyDescent="0.2"/>
    <row r="314" s="51" customFormat="1" ht="13.5" customHeight="1" x14ac:dyDescent="0.2"/>
    <row r="315" s="51" customFormat="1" ht="13.5" customHeight="1" x14ac:dyDescent="0.2"/>
    <row r="316" s="51" customFormat="1" ht="13.5" customHeight="1" x14ac:dyDescent="0.2"/>
    <row r="317" s="51" customFormat="1" ht="13.5" customHeight="1" x14ac:dyDescent="0.2"/>
    <row r="318" s="51" customFormat="1" ht="13.5" customHeight="1" x14ac:dyDescent="0.2"/>
    <row r="319" s="51" customFormat="1" ht="13.5" customHeight="1" x14ac:dyDescent="0.2"/>
    <row r="320" s="51" customFormat="1" ht="13.5" customHeight="1" x14ac:dyDescent="0.2"/>
    <row r="321" s="51" customFormat="1" ht="13.5" customHeight="1" x14ac:dyDescent="0.2"/>
    <row r="322" s="51" customFormat="1" ht="13.5" customHeight="1" x14ac:dyDescent="0.2"/>
    <row r="323" s="51" customFormat="1" ht="13.5" customHeight="1" x14ac:dyDescent="0.2"/>
    <row r="324" s="51" customFormat="1" ht="13.5" customHeight="1" x14ac:dyDescent="0.2"/>
    <row r="325" s="51" customFormat="1" ht="13.5" customHeight="1" x14ac:dyDescent="0.2"/>
    <row r="326" s="51" customFormat="1" ht="13.5" customHeight="1" x14ac:dyDescent="0.2"/>
    <row r="327" s="51" customFormat="1" ht="13.5" customHeight="1" x14ac:dyDescent="0.2"/>
    <row r="328" s="51" customFormat="1" ht="13.5" customHeight="1" x14ac:dyDescent="0.2"/>
    <row r="329" s="51" customFormat="1" ht="13.5" customHeight="1" x14ac:dyDescent="0.2"/>
    <row r="330" s="51" customFormat="1" ht="13.5" customHeight="1" x14ac:dyDescent="0.2"/>
    <row r="331" s="51" customFormat="1" ht="13.5" customHeight="1" x14ac:dyDescent="0.2"/>
    <row r="332" s="51" customFormat="1" ht="13.5" customHeight="1" x14ac:dyDescent="0.2"/>
    <row r="333" s="51" customFormat="1" ht="13.5" customHeight="1" x14ac:dyDescent="0.2"/>
    <row r="334" s="51" customFormat="1" ht="13.5" customHeight="1" x14ac:dyDescent="0.2"/>
    <row r="335" s="51" customFormat="1" ht="13.5" customHeight="1" x14ac:dyDescent="0.2"/>
    <row r="336" s="51" customFormat="1" ht="13.5" customHeight="1" x14ac:dyDescent="0.2"/>
    <row r="337" s="51" customFormat="1" ht="13.5" customHeight="1" x14ac:dyDescent="0.2"/>
    <row r="338" s="51" customFormat="1" ht="13.5" customHeight="1" x14ac:dyDescent="0.2"/>
    <row r="339" s="51" customFormat="1" ht="13.5" customHeight="1" x14ac:dyDescent="0.2"/>
    <row r="340" s="51" customFormat="1" ht="13.5" customHeight="1" x14ac:dyDescent="0.2"/>
    <row r="341" s="51" customFormat="1" ht="13.5" customHeight="1" x14ac:dyDescent="0.2"/>
    <row r="342" s="51" customFormat="1" ht="13.5" customHeight="1" x14ac:dyDescent="0.2"/>
    <row r="343" s="51" customFormat="1" ht="13.5" customHeight="1" x14ac:dyDescent="0.2"/>
    <row r="344" s="51" customFormat="1" ht="13.5" customHeight="1" x14ac:dyDescent="0.2"/>
    <row r="345" s="51" customFormat="1" ht="13.5" customHeight="1" x14ac:dyDescent="0.2"/>
    <row r="346" s="51" customFormat="1" ht="13.5" customHeight="1" x14ac:dyDescent="0.2"/>
    <row r="347" s="51" customFormat="1" ht="13.5" customHeight="1" x14ac:dyDescent="0.2"/>
    <row r="348" s="51" customFormat="1" ht="13.5" customHeight="1" x14ac:dyDescent="0.2"/>
    <row r="349" s="51" customFormat="1" ht="13.5" customHeight="1" x14ac:dyDescent="0.2"/>
    <row r="350" s="51" customFormat="1" ht="13.5" customHeight="1" x14ac:dyDescent="0.2"/>
    <row r="351" s="51" customFormat="1" ht="13.5" customHeight="1" x14ac:dyDescent="0.2"/>
    <row r="352" s="51" customFormat="1" ht="13.5" customHeight="1" x14ac:dyDescent="0.2"/>
    <row r="353" s="51" customFormat="1" ht="13.5" customHeight="1" x14ac:dyDescent="0.2"/>
    <row r="354" s="51" customFormat="1" ht="13.5" customHeight="1" x14ac:dyDescent="0.2"/>
    <row r="355" s="51" customFormat="1" ht="13.5" customHeight="1" x14ac:dyDescent="0.2"/>
    <row r="356" s="51" customFormat="1" ht="13.5" customHeight="1" x14ac:dyDescent="0.2"/>
    <row r="357" s="51" customFormat="1" ht="13.5" customHeight="1" x14ac:dyDescent="0.2"/>
    <row r="358" s="51" customFormat="1" ht="13.5" customHeight="1" x14ac:dyDescent="0.2"/>
    <row r="359" s="51" customFormat="1" ht="13.5" customHeight="1" x14ac:dyDescent="0.2"/>
    <row r="360" s="51" customFormat="1" ht="13.5" customHeight="1" x14ac:dyDescent="0.2"/>
    <row r="361" s="51" customFormat="1" ht="13.5" customHeight="1" x14ac:dyDescent="0.2"/>
    <row r="362" s="51" customFormat="1" ht="13.5" customHeight="1" x14ac:dyDescent="0.2"/>
    <row r="363" s="51" customFormat="1" ht="13.5" customHeight="1" x14ac:dyDescent="0.2"/>
    <row r="364" s="51" customFormat="1" ht="13.5" customHeight="1" x14ac:dyDescent="0.2"/>
    <row r="365" s="51" customFormat="1" ht="13.5" customHeight="1" x14ac:dyDescent="0.2"/>
    <row r="366" s="51" customFormat="1" ht="13.5" customHeight="1" x14ac:dyDescent="0.2"/>
    <row r="367" s="51" customFormat="1" ht="13.5" customHeight="1" x14ac:dyDescent="0.2"/>
    <row r="368" s="51" customFormat="1" ht="13.5" customHeight="1" x14ac:dyDescent="0.2"/>
    <row r="369" s="51" customFormat="1" ht="13.5" customHeight="1" x14ac:dyDescent="0.2"/>
    <row r="370" s="51" customFormat="1" ht="13.5" customHeight="1" x14ac:dyDescent="0.2"/>
    <row r="371" s="51" customFormat="1" ht="13.5" customHeight="1" x14ac:dyDescent="0.2"/>
    <row r="372" s="51" customFormat="1" ht="13.5" customHeight="1" x14ac:dyDescent="0.2"/>
    <row r="373" s="51" customFormat="1" ht="13.5" customHeight="1" x14ac:dyDescent="0.2"/>
    <row r="374" s="51" customFormat="1" ht="13.5" customHeight="1" x14ac:dyDescent="0.2"/>
    <row r="375" s="51" customFormat="1" ht="13.5" customHeight="1" x14ac:dyDescent="0.2"/>
    <row r="376" s="51" customFormat="1" ht="13.5" customHeight="1" x14ac:dyDescent="0.2"/>
    <row r="377" s="51" customFormat="1" ht="13.5" customHeight="1" x14ac:dyDescent="0.2"/>
    <row r="378" s="51" customFormat="1" ht="13.5" customHeight="1" x14ac:dyDescent="0.2"/>
    <row r="379" s="51" customFormat="1" ht="13.5" customHeight="1" x14ac:dyDescent="0.2"/>
    <row r="380" s="51" customFormat="1" ht="13.5" customHeight="1" x14ac:dyDescent="0.2"/>
    <row r="381" s="51" customFormat="1" ht="13.5" customHeight="1" x14ac:dyDescent="0.2"/>
    <row r="382" s="51" customFormat="1" ht="13.5" customHeight="1" x14ac:dyDescent="0.2"/>
    <row r="383" s="51" customFormat="1" ht="13.5" customHeight="1" x14ac:dyDescent="0.2"/>
    <row r="384" s="51" customFormat="1" ht="13.5" customHeight="1" x14ac:dyDescent="0.2"/>
    <row r="385" s="51" customFormat="1" ht="13.5" customHeight="1" x14ac:dyDescent="0.2"/>
    <row r="386" s="51" customFormat="1" ht="13.5" customHeight="1" x14ac:dyDescent="0.2"/>
    <row r="387" s="51" customFormat="1" ht="13.5" customHeight="1" x14ac:dyDescent="0.2"/>
    <row r="388" s="51" customFormat="1" ht="13.5" customHeight="1" x14ac:dyDescent="0.2"/>
    <row r="389" s="51" customFormat="1" ht="13.5" customHeight="1" x14ac:dyDescent="0.2"/>
    <row r="390" s="51" customFormat="1" ht="13.5" customHeight="1" x14ac:dyDescent="0.2"/>
    <row r="391" s="51" customFormat="1" ht="13.5" customHeight="1" x14ac:dyDescent="0.2"/>
    <row r="392" s="51" customFormat="1" ht="13.5" customHeight="1" x14ac:dyDescent="0.2"/>
    <row r="393" s="51" customFormat="1" ht="13.5" customHeight="1" x14ac:dyDescent="0.2"/>
    <row r="394" s="51" customFormat="1" ht="13.5" customHeight="1" x14ac:dyDescent="0.2"/>
    <row r="395" s="51" customFormat="1" ht="13.5" customHeight="1" x14ac:dyDescent="0.2"/>
    <row r="396" s="51" customFormat="1" ht="13.5" customHeight="1" x14ac:dyDescent="0.2"/>
    <row r="397" s="51" customFormat="1" ht="13.5" customHeight="1" x14ac:dyDescent="0.2"/>
    <row r="398" s="51" customFormat="1" ht="13.5" customHeight="1" x14ac:dyDescent="0.2"/>
    <row r="399" s="51" customFormat="1" ht="13.5" customHeight="1" x14ac:dyDescent="0.2"/>
    <row r="400" s="51" customFormat="1" ht="13.5" customHeight="1" x14ac:dyDescent="0.2"/>
    <row r="401" s="51" customFormat="1" ht="13.5" customHeight="1" x14ac:dyDescent="0.2"/>
    <row r="402" s="51" customFormat="1" ht="13.5" customHeight="1" x14ac:dyDescent="0.2"/>
    <row r="403" s="51" customFormat="1" ht="13.5" customHeight="1" x14ac:dyDescent="0.2"/>
    <row r="404" s="51" customFormat="1" ht="13.5" customHeight="1" x14ac:dyDescent="0.2"/>
    <row r="405" s="51" customFormat="1" ht="13.5" customHeight="1" x14ac:dyDescent="0.2"/>
    <row r="406" s="51" customFormat="1" ht="13.5" customHeight="1" x14ac:dyDescent="0.2"/>
    <row r="407" s="51" customFormat="1" ht="13.5" customHeight="1" x14ac:dyDescent="0.2"/>
    <row r="408" s="51" customFormat="1" ht="13.5" customHeight="1" x14ac:dyDescent="0.2"/>
    <row r="409" s="51" customFormat="1" ht="13.5" customHeight="1" x14ac:dyDescent="0.2"/>
    <row r="410" s="51" customFormat="1" ht="13.5" customHeight="1" x14ac:dyDescent="0.2"/>
    <row r="411" s="51" customFormat="1" ht="13.5" customHeight="1" x14ac:dyDescent="0.2"/>
    <row r="412" s="51" customFormat="1" ht="13.5" customHeight="1" x14ac:dyDescent="0.2"/>
    <row r="413" s="51" customFormat="1" ht="13.5" customHeight="1" x14ac:dyDescent="0.2"/>
    <row r="414" s="51" customFormat="1" ht="13.5" customHeight="1" x14ac:dyDescent="0.2"/>
    <row r="415" s="51" customFormat="1" ht="13.5" customHeight="1" x14ac:dyDescent="0.2"/>
    <row r="416" s="51" customFormat="1" ht="13.5" customHeight="1" x14ac:dyDescent="0.2"/>
    <row r="417" s="51" customFormat="1" ht="13.5" customHeight="1" x14ac:dyDescent="0.2"/>
    <row r="418" s="51" customFormat="1" ht="13.5" customHeight="1" x14ac:dyDescent="0.2"/>
    <row r="419" s="51" customFormat="1" ht="13.5" customHeight="1" x14ac:dyDescent="0.2"/>
    <row r="420" s="51" customFormat="1" ht="13.5" customHeight="1" x14ac:dyDescent="0.2"/>
    <row r="421" s="51" customFormat="1" ht="13.5" customHeight="1" x14ac:dyDescent="0.2"/>
    <row r="422" s="51" customFormat="1" ht="13.5" customHeight="1" x14ac:dyDescent="0.2"/>
    <row r="423" s="51" customFormat="1" ht="13.5" customHeight="1" x14ac:dyDescent="0.2"/>
    <row r="424" s="51" customFormat="1" ht="13.5" customHeight="1" x14ac:dyDescent="0.2"/>
    <row r="425" s="51" customFormat="1" ht="13.5" customHeight="1" x14ac:dyDescent="0.2"/>
    <row r="426" s="51" customFormat="1" ht="13.5" customHeight="1" x14ac:dyDescent="0.2"/>
    <row r="427" s="51" customFormat="1" ht="13.5" customHeight="1" x14ac:dyDescent="0.2"/>
    <row r="428" s="51" customFormat="1" ht="13.5" customHeight="1" x14ac:dyDescent="0.2"/>
    <row r="429" s="51" customFormat="1" ht="13.5" customHeight="1" x14ac:dyDescent="0.2"/>
    <row r="430" s="51" customFormat="1" ht="13.5" customHeight="1" x14ac:dyDescent="0.2"/>
    <row r="431" s="51" customFormat="1" ht="13.5" customHeight="1" x14ac:dyDescent="0.2"/>
    <row r="432" s="51" customFormat="1" ht="13.5" customHeight="1" x14ac:dyDescent="0.2"/>
    <row r="433" s="51" customFormat="1" ht="13.5" customHeight="1" x14ac:dyDescent="0.2"/>
    <row r="434" s="51" customFormat="1" ht="13.5" customHeight="1" x14ac:dyDescent="0.2"/>
    <row r="435" s="51" customFormat="1" ht="13.5" customHeight="1" x14ac:dyDescent="0.2"/>
    <row r="436" s="51" customFormat="1" ht="13.5" customHeight="1" x14ac:dyDescent="0.2"/>
    <row r="437" s="51" customFormat="1" ht="13.5" customHeight="1" x14ac:dyDescent="0.2"/>
    <row r="438" s="51" customFormat="1" ht="13.5" customHeight="1" x14ac:dyDescent="0.2"/>
    <row r="439" s="51" customFormat="1" ht="13.5" customHeight="1" x14ac:dyDescent="0.2"/>
    <row r="440" s="51" customFormat="1" ht="13.5" customHeight="1" x14ac:dyDescent="0.2"/>
    <row r="441" s="51" customFormat="1" ht="13.5" customHeight="1" x14ac:dyDescent="0.2"/>
    <row r="442" s="51" customFormat="1" ht="13.5" customHeight="1" x14ac:dyDescent="0.2"/>
    <row r="443" s="51" customFormat="1" ht="13.5" customHeight="1" x14ac:dyDescent="0.2"/>
    <row r="444" s="51" customFormat="1" ht="13.5" customHeight="1" x14ac:dyDescent="0.2"/>
    <row r="445" s="51" customFormat="1" ht="13.5" customHeight="1" x14ac:dyDescent="0.2"/>
    <row r="446" s="51" customFormat="1" ht="13.5" customHeight="1" x14ac:dyDescent="0.2"/>
    <row r="447" s="51" customFormat="1" ht="13.5" customHeight="1" x14ac:dyDescent="0.2"/>
    <row r="448" s="51" customFormat="1" ht="13.5" customHeight="1" x14ac:dyDescent="0.2"/>
    <row r="449" s="51" customFormat="1" ht="13.5" customHeight="1" x14ac:dyDescent="0.2"/>
    <row r="450" s="51" customFormat="1" ht="13.5" customHeight="1" x14ac:dyDescent="0.2"/>
    <row r="451" s="51" customFormat="1" ht="13.5" customHeight="1" x14ac:dyDescent="0.2"/>
    <row r="452" s="51" customFormat="1" ht="13.5" customHeight="1" x14ac:dyDescent="0.2"/>
    <row r="453" s="51" customFormat="1" ht="13.5" customHeight="1" x14ac:dyDescent="0.2"/>
    <row r="454" s="51" customFormat="1" ht="13.5" customHeight="1" x14ac:dyDescent="0.2"/>
    <row r="455" s="51" customFormat="1" ht="13.5" customHeight="1" x14ac:dyDescent="0.2"/>
    <row r="456" s="51" customFormat="1" ht="13.5" customHeight="1" x14ac:dyDescent="0.2"/>
    <row r="457" s="51" customFormat="1" ht="13.5" customHeight="1" x14ac:dyDescent="0.2"/>
    <row r="458" s="51" customFormat="1" ht="13.5" customHeight="1" x14ac:dyDescent="0.2"/>
    <row r="459" s="51" customFormat="1" ht="13.5" customHeight="1" x14ac:dyDescent="0.2"/>
    <row r="460" s="51" customFormat="1" ht="13.5" customHeight="1" x14ac:dyDescent="0.2"/>
    <row r="461" s="51" customFormat="1" ht="13.5" customHeight="1" x14ac:dyDescent="0.2"/>
    <row r="462" s="51" customFormat="1" ht="13.5" customHeight="1" x14ac:dyDescent="0.2"/>
    <row r="463" s="51" customFormat="1" ht="13.5" customHeight="1" x14ac:dyDescent="0.2"/>
    <row r="464" s="51" customFormat="1" ht="13.5" customHeight="1" x14ac:dyDescent="0.2"/>
    <row r="465" s="51" customFormat="1" ht="13.5" customHeight="1" x14ac:dyDescent="0.2"/>
    <row r="466" s="51" customFormat="1" ht="13.5" customHeight="1" x14ac:dyDescent="0.2"/>
    <row r="467" s="51" customFormat="1" ht="13.5" customHeight="1" x14ac:dyDescent="0.2"/>
    <row r="468" s="51" customFormat="1" ht="13.5" customHeight="1" x14ac:dyDescent="0.2"/>
    <row r="469" s="51" customFormat="1" ht="13.5" customHeight="1" x14ac:dyDescent="0.2"/>
    <row r="470" s="51" customFormat="1" ht="13.5" customHeight="1" x14ac:dyDescent="0.2"/>
    <row r="471" s="51" customFormat="1" ht="13.5" customHeight="1" x14ac:dyDescent="0.2"/>
    <row r="472" s="51" customFormat="1" ht="13.5" customHeight="1" x14ac:dyDescent="0.2"/>
    <row r="473" s="51" customFormat="1" ht="13.5" customHeight="1" x14ac:dyDescent="0.2"/>
    <row r="474" s="51" customFormat="1" ht="13.5" customHeight="1" x14ac:dyDescent="0.2"/>
    <row r="475" s="51" customFormat="1" ht="13.5" customHeight="1" x14ac:dyDescent="0.2"/>
    <row r="476" s="51" customFormat="1" ht="13.5" customHeight="1" x14ac:dyDescent="0.2"/>
    <row r="477" s="51" customFormat="1" ht="13.5" customHeight="1" x14ac:dyDescent="0.2"/>
    <row r="478" s="51" customFormat="1" ht="13.5" customHeight="1" x14ac:dyDescent="0.2"/>
    <row r="479" s="51" customFormat="1" ht="13.5" customHeight="1" x14ac:dyDescent="0.2"/>
    <row r="480" s="51" customFormat="1" ht="13.5" customHeight="1" x14ac:dyDescent="0.2"/>
    <row r="481" s="51" customFormat="1" ht="13.5" customHeight="1" x14ac:dyDescent="0.2"/>
    <row r="482" s="51" customFormat="1" ht="13.5" customHeight="1" x14ac:dyDescent="0.2"/>
    <row r="483" s="51" customFormat="1" ht="13.5" customHeight="1" x14ac:dyDescent="0.2"/>
    <row r="484" s="51" customFormat="1" ht="13.5" customHeight="1" x14ac:dyDescent="0.2"/>
    <row r="485" s="51" customFormat="1" ht="13.5" customHeight="1" x14ac:dyDescent="0.2"/>
    <row r="486" s="51" customFormat="1" ht="13.5" customHeight="1" x14ac:dyDescent="0.2"/>
    <row r="487" s="51" customFormat="1" ht="13.5" customHeight="1" x14ac:dyDescent="0.2"/>
    <row r="488" s="51" customFormat="1" ht="13.5" customHeight="1" x14ac:dyDescent="0.2"/>
    <row r="489" s="51" customFormat="1" ht="13.5" customHeight="1" x14ac:dyDescent="0.2"/>
    <row r="490" s="51" customFormat="1" ht="13.5" customHeight="1" x14ac:dyDescent="0.2"/>
    <row r="491" s="51" customFormat="1" ht="13.5" customHeight="1" x14ac:dyDescent="0.2"/>
    <row r="492" s="51" customFormat="1" ht="13.5" customHeight="1" x14ac:dyDescent="0.2"/>
    <row r="493" s="51" customFormat="1" ht="13.5" customHeight="1" x14ac:dyDescent="0.2"/>
    <row r="494" s="51" customFormat="1" ht="13.5" customHeight="1" x14ac:dyDescent="0.2"/>
    <row r="495" s="51" customFormat="1" ht="13.5" customHeight="1" x14ac:dyDescent="0.2"/>
    <row r="496" s="51" customFormat="1" ht="13.5" customHeight="1" x14ac:dyDescent="0.2"/>
    <row r="497" s="51" customFormat="1" ht="13.5" customHeight="1" x14ac:dyDescent="0.2"/>
    <row r="498" s="51" customFormat="1" ht="13.5" customHeight="1" x14ac:dyDescent="0.2"/>
    <row r="499" s="51" customFormat="1" ht="13.5" customHeight="1" x14ac:dyDescent="0.2"/>
    <row r="500" s="51" customFormat="1" ht="13.5" customHeight="1" x14ac:dyDescent="0.2"/>
    <row r="501" s="51" customFormat="1" ht="13.5" customHeight="1" x14ac:dyDescent="0.2"/>
    <row r="502" s="51" customFormat="1" ht="13.5" customHeight="1" x14ac:dyDescent="0.2"/>
    <row r="503" s="51" customFormat="1" ht="13.5" customHeight="1" x14ac:dyDescent="0.2"/>
    <row r="504" s="51" customFormat="1" ht="13.5" customHeight="1" x14ac:dyDescent="0.2"/>
    <row r="505" s="51" customFormat="1" ht="13.5" customHeight="1" x14ac:dyDescent="0.2"/>
    <row r="506" s="51" customFormat="1" ht="13.5" customHeight="1" x14ac:dyDescent="0.2"/>
    <row r="507" s="51" customFormat="1" ht="13.5" customHeight="1" x14ac:dyDescent="0.2"/>
    <row r="508" s="51" customFormat="1" ht="13.5" customHeight="1" x14ac:dyDescent="0.2"/>
    <row r="509" s="51" customFormat="1" ht="13.5" customHeight="1" x14ac:dyDescent="0.2"/>
    <row r="510" s="51" customFormat="1" ht="13.5" customHeight="1" x14ac:dyDescent="0.2"/>
    <row r="511" s="51" customFormat="1" ht="13.5" customHeight="1" x14ac:dyDescent="0.2"/>
    <row r="512" s="51" customFormat="1" ht="13.5" customHeight="1" x14ac:dyDescent="0.2"/>
    <row r="513" s="51" customFormat="1" ht="13.5" customHeight="1" x14ac:dyDescent="0.2"/>
    <row r="514" s="51" customFormat="1" ht="13.5" customHeight="1" x14ac:dyDescent="0.2"/>
    <row r="515" s="51" customFormat="1" ht="13.5" customHeight="1" x14ac:dyDescent="0.2"/>
    <row r="516" s="51" customFormat="1" ht="13.5" customHeight="1" x14ac:dyDescent="0.2"/>
    <row r="517" s="51" customFormat="1" ht="13.5" customHeight="1" x14ac:dyDescent="0.2"/>
    <row r="518" s="51" customFormat="1" ht="13.5" customHeight="1" x14ac:dyDescent="0.2"/>
    <row r="519" s="51" customFormat="1" ht="13.5" customHeight="1" x14ac:dyDescent="0.2"/>
    <row r="520" s="51" customFormat="1" ht="13.5" customHeight="1" x14ac:dyDescent="0.2"/>
    <row r="521" s="51" customFormat="1" ht="13.5" customHeight="1" x14ac:dyDescent="0.2"/>
    <row r="522" s="51" customFormat="1" ht="13.5" customHeight="1" x14ac:dyDescent="0.2"/>
    <row r="523" s="51" customFormat="1" ht="13.5" customHeight="1" x14ac:dyDescent="0.2"/>
    <row r="524" s="51" customFormat="1" ht="13.5" customHeight="1" x14ac:dyDescent="0.2"/>
    <row r="525" s="51" customFormat="1" ht="13.5" customHeight="1" x14ac:dyDescent="0.2"/>
    <row r="526" s="51" customFormat="1" ht="13.5" customHeight="1" x14ac:dyDescent="0.2"/>
    <row r="527" s="51" customFormat="1" ht="13.5" customHeight="1" x14ac:dyDescent="0.2"/>
    <row r="528" s="51" customFormat="1" ht="13.5" customHeight="1" x14ac:dyDescent="0.2"/>
    <row r="529" s="51" customFormat="1" ht="13.5" customHeight="1" x14ac:dyDescent="0.2"/>
    <row r="530" s="51" customFormat="1" ht="13.5" customHeight="1" x14ac:dyDescent="0.2"/>
    <row r="531" s="51" customFormat="1" ht="13.5" customHeight="1" x14ac:dyDescent="0.2"/>
    <row r="532" s="51" customFormat="1" ht="13.5" customHeight="1" x14ac:dyDescent="0.2"/>
    <row r="533" s="51" customFormat="1" ht="13.5" customHeight="1" x14ac:dyDescent="0.2"/>
    <row r="534" s="51" customFormat="1" ht="13.5" customHeight="1" x14ac:dyDescent="0.2"/>
    <row r="535" s="51" customFormat="1" ht="13.5" customHeight="1" x14ac:dyDescent="0.2"/>
    <row r="536" s="51" customFormat="1" ht="13.5" customHeight="1" x14ac:dyDescent="0.2"/>
    <row r="537" s="51" customFormat="1" ht="13.5" customHeight="1" x14ac:dyDescent="0.2"/>
    <row r="538" s="51" customFormat="1" ht="13.5" customHeight="1" x14ac:dyDescent="0.2"/>
    <row r="539" s="51" customFormat="1" ht="13.5" customHeight="1" x14ac:dyDescent="0.2"/>
    <row r="540" s="51" customFormat="1" ht="13.5" customHeight="1" x14ac:dyDescent="0.2"/>
    <row r="541" s="51" customFormat="1" ht="13.5" customHeight="1" x14ac:dyDescent="0.2"/>
    <row r="542" s="51" customFormat="1" ht="13.5" customHeight="1" x14ac:dyDescent="0.2"/>
    <row r="543" s="51" customFormat="1" ht="13.5" customHeight="1" x14ac:dyDescent="0.2"/>
    <row r="544" s="51" customFormat="1" ht="13.5" customHeight="1" x14ac:dyDescent="0.2"/>
    <row r="545" s="51" customFormat="1" ht="13.5" customHeight="1" x14ac:dyDescent="0.2"/>
    <row r="546" s="51" customFormat="1" ht="13.5" customHeight="1" x14ac:dyDescent="0.2"/>
    <row r="547" s="51" customFormat="1" ht="13.5" customHeight="1" x14ac:dyDescent="0.2"/>
    <row r="548" s="51" customFormat="1" ht="13.5" customHeight="1" x14ac:dyDescent="0.2"/>
    <row r="549" s="51" customFormat="1" ht="13.5" customHeight="1" x14ac:dyDescent="0.2"/>
    <row r="550" s="51" customFormat="1" ht="13.5" customHeight="1" x14ac:dyDescent="0.2"/>
    <row r="551" s="51" customFormat="1" ht="13.5" customHeight="1" x14ac:dyDescent="0.2"/>
    <row r="552" s="51" customFormat="1" ht="13.5" customHeight="1" x14ac:dyDescent="0.2"/>
    <row r="553" s="51" customFormat="1" ht="13.5" customHeight="1" x14ac:dyDescent="0.2"/>
    <row r="554" s="51" customFormat="1" ht="13.5" customHeight="1" x14ac:dyDescent="0.2"/>
    <row r="555" s="51" customFormat="1" ht="13.5" customHeight="1" x14ac:dyDescent="0.2"/>
    <row r="556" s="51" customFormat="1" ht="13.5" customHeight="1" x14ac:dyDescent="0.2"/>
    <row r="557" s="51" customFormat="1" ht="13.5" customHeight="1" x14ac:dyDescent="0.2"/>
    <row r="558" s="51" customFormat="1" ht="13.5" customHeight="1" x14ac:dyDescent="0.2"/>
    <row r="559" s="51" customFormat="1" ht="13.5" customHeight="1" x14ac:dyDescent="0.2"/>
    <row r="560" s="51" customFormat="1" ht="13.5" customHeight="1" x14ac:dyDescent="0.2"/>
    <row r="561" s="51" customFormat="1" ht="13.5" customHeight="1" x14ac:dyDescent="0.2"/>
    <row r="562" s="51" customFormat="1" ht="13.5" customHeight="1" x14ac:dyDescent="0.2"/>
    <row r="563" s="51" customFormat="1" ht="13.5" customHeight="1" x14ac:dyDescent="0.2"/>
    <row r="564" s="51" customFormat="1" ht="13.5" customHeight="1" x14ac:dyDescent="0.2"/>
    <row r="565" s="51" customFormat="1" ht="13.5" customHeight="1" x14ac:dyDescent="0.2"/>
    <row r="566" s="51" customFormat="1" ht="13.5" customHeight="1" x14ac:dyDescent="0.2"/>
    <row r="567" s="51" customFormat="1" ht="13.5" customHeight="1" x14ac:dyDescent="0.2"/>
    <row r="568" s="51" customFormat="1" ht="13.5" customHeight="1" x14ac:dyDescent="0.2"/>
    <row r="569" s="51" customFormat="1" ht="13.5" customHeight="1" x14ac:dyDescent="0.2"/>
    <row r="570" s="51" customFormat="1" ht="13.5" customHeight="1" x14ac:dyDescent="0.2"/>
    <row r="571" s="51" customFormat="1" ht="13.5" customHeight="1" x14ac:dyDescent="0.2"/>
    <row r="572" s="51" customFormat="1" ht="13.5" customHeight="1" x14ac:dyDescent="0.2"/>
    <row r="573" s="51" customFormat="1" ht="13.5" customHeight="1" x14ac:dyDescent="0.2"/>
    <row r="574" s="51" customFormat="1" ht="13.5" customHeight="1" x14ac:dyDescent="0.2"/>
    <row r="575" s="51" customFormat="1" ht="13.5" customHeight="1" x14ac:dyDescent="0.2"/>
    <row r="576" s="51" customFormat="1" ht="13.5" customHeight="1" x14ac:dyDescent="0.2"/>
    <row r="577" s="51" customFormat="1" ht="13.5" customHeight="1" x14ac:dyDescent="0.2"/>
    <row r="578" s="51" customFormat="1" ht="13.5" customHeight="1" x14ac:dyDescent="0.2"/>
    <row r="579" s="51" customFormat="1" ht="13.5" customHeight="1" x14ac:dyDescent="0.2"/>
    <row r="580" s="51" customFormat="1" ht="13.5" customHeight="1" x14ac:dyDescent="0.2"/>
    <row r="581" s="51" customFormat="1" ht="13.5" customHeight="1" x14ac:dyDescent="0.2"/>
    <row r="582" s="51" customFormat="1" ht="13.5" customHeight="1" x14ac:dyDescent="0.2"/>
    <row r="583" s="51" customFormat="1" ht="13.5" customHeight="1" x14ac:dyDescent="0.2"/>
    <row r="584" s="51" customFormat="1" ht="13.5" customHeight="1" x14ac:dyDescent="0.2"/>
    <row r="585" s="51" customFormat="1" ht="13.5" customHeight="1" x14ac:dyDescent="0.2"/>
    <row r="586" s="51" customFormat="1" ht="13.5" customHeight="1" x14ac:dyDescent="0.2"/>
    <row r="587" s="51" customFormat="1" ht="13.5" customHeight="1" x14ac:dyDescent="0.2"/>
    <row r="588" s="51" customFormat="1" ht="13.5" customHeight="1" x14ac:dyDescent="0.2"/>
    <row r="589" s="51" customFormat="1" ht="13.5" customHeight="1" x14ac:dyDescent="0.2"/>
    <row r="590" s="51" customFormat="1" ht="13.5" customHeight="1" x14ac:dyDescent="0.2"/>
    <row r="591" s="51" customFormat="1" ht="13.5" customHeight="1" x14ac:dyDescent="0.2"/>
    <row r="592" s="51" customFormat="1" ht="13.5" customHeight="1" x14ac:dyDescent="0.2"/>
    <row r="593" s="51" customFormat="1" ht="13.5" customHeight="1" x14ac:dyDescent="0.2"/>
    <row r="594" s="51" customFormat="1" ht="13.5" customHeight="1" x14ac:dyDescent="0.2"/>
    <row r="595" s="51" customFormat="1" ht="13.5" customHeight="1" x14ac:dyDescent="0.2"/>
    <row r="596" s="51" customFormat="1" ht="13.5" customHeight="1" x14ac:dyDescent="0.2"/>
    <row r="597" s="51" customFormat="1" ht="13.5" customHeight="1" x14ac:dyDescent="0.2"/>
    <row r="598" s="51" customFormat="1" ht="13.5" customHeight="1" x14ac:dyDescent="0.2"/>
    <row r="599" s="51" customFormat="1" ht="13.5" customHeight="1" x14ac:dyDescent="0.2"/>
    <row r="600" s="51" customFormat="1" ht="13.5" customHeight="1" x14ac:dyDescent="0.2"/>
    <row r="601" s="51" customFormat="1" ht="13.5" customHeight="1" x14ac:dyDescent="0.2"/>
    <row r="602" s="51" customFormat="1" ht="13.5" customHeight="1" x14ac:dyDescent="0.2"/>
    <row r="603" s="51" customFormat="1" ht="13.5" customHeight="1" x14ac:dyDescent="0.2"/>
    <row r="604" s="51" customFormat="1" ht="13.5" customHeight="1" x14ac:dyDescent="0.2"/>
    <row r="605" s="51" customFormat="1" ht="13.5" customHeight="1" x14ac:dyDescent="0.2"/>
    <row r="606" s="51" customFormat="1" ht="13.5" customHeight="1" x14ac:dyDescent="0.2"/>
    <row r="607" s="51" customFormat="1" ht="13.5" customHeight="1" x14ac:dyDescent="0.2"/>
    <row r="608" s="51" customFormat="1" ht="13.5" customHeight="1" x14ac:dyDescent="0.2"/>
    <row r="609" s="51" customFormat="1" ht="13.5" customHeight="1" x14ac:dyDescent="0.2"/>
    <row r="610" s="51" customFormat="1" ht="13.5" customHeight="1" x14ac:dyDescent="0.2"/>
    <row r="611" s="51" customFormat="1" ht="13.5" customHeight="1" x14ac:dyDescent="0.2"/>
    <row r="612" s="51" customFormat="1" ht="13.5" customHeight="1" x14ac:dyDescent="0.2"/>
    <row r="613" s="51" customFormat="1" ht="13.5" customHeight="1" x14ac:dyDescent="0.2"/>
    <row r="614" s="51" customFormat="1" ht="13.5" customHeight="1" x14ac:dyDescent="0.2"/>
    <row r="615" s="51" customFormat="1" ht="13.5" customHeight="1" x14ac:dyDescent="0.2"/>
    <row r="616" s="51" customFormat="1" ht="13.5" customHeight="1" x14ac:dyDescent="0.2"/>
    <row r="617" s="51" customFormat="1" ht="13.5" customHeight="1" x14ac:dyDescent="0.2"/>
    <row r="618" s="51" customFormat="1" ht="13.5" customHeight="1" x14ac:dyDescent="0.2"/>
    <row r="619" s="51" customFormat="1" ht="13.5" customHeight="1" x14ac:dyDescent="0.2"/>
    <row r="620" s="51" customFormat="1" ht="13.5" customHeight="1" x14ac:dyDescent="0.2"/>
    <row r="621" s="51" customFormat="1" ht="13.5" customHeight="1" x14ac:dyDescent="0.2"/>
    <row r="622" s="51" customFormat="1" ht="13.5" customHeight="1" x14ac:dyDescent="0.2"/>
    <row r="623" s="51" customFormat="1" ht="13.5" customHeight="1" x14ac:dyDescent="0.2"/>
    <row r="624" s="51" customFormat="1" ht="13.5" customHeight="1" x14ac:dyDescent="0.2"/>
    <row r="625" s="51" customFormat="1" ht="13.5" customHeight="1" x14ac:dyDescent="0.2"/>
    <row r="626" s="51" customFormat="1" ht="13.5" customHeight="1" x14ac:dyDescent="0.2"/>
    <row r="627" s="51" customFormat="1" ht="13.5" customHeight="1" x14ac:dyDescent="0.2"/>
    <row r="628" s="51" customFormat="1" ht="13.5" customHeight="1" x14ac:dyDescent="0.2"/>
    <row r="629" s="51" customFormat="1" ht="13.5" customHeight="1" x14ac:dyDescent="0.2"/>
    <row r="630" s="51" customFormat="1" ht="13.5" customHeight="1" x14ac:dyDescent="0.2"/>
    <row r="631" s="51" customFormat="1" ht="13.5" customHeight="1" x14ac:dyDescent="0.2"/>
    <row r="632" s="51" customFormat="1" ht="13.5" customHeight="1" x14ac:dyDescent="0.2"/>
    <row r="633" s="51" customFormat="1" ht="13.5" customHeight="1" x14ac:dyDescent="0.2"/>
    <row r="634" s="51" customFormat="1" ht="13.5" customHeight="1" x14ac:dyDescent="0.2"/>
    <row r="635" s="51" customFormat="1" ht="13.5" customHeight="1" x14ac:dyDescent="0.2"/>
    <row r="636" s="51" customFormat="1" ht="13.5" customHeight="1" x14ac:dyDescent="0.2"/>
    <row r="637" s="51" customFormat="1" ht="13.5" customHeight="1" x14ac:dyDescent="0.2"/>
    <row r="638" s="51" customFormat="1" ht="13.5" customHeight="1" x14ac:dyDescent="0.2"/>
    <row r="639" s="51" customFormat="1" ht="13.5" customHeight="1" x14ac:dyDescent="0.2"/>
    <row r="640" s="51" customFormat="1" ht="13.5" customHeight="1" x14ac:dyDescent="0.2"/>
    <row r="641" s="51" customFormat="1" ht="13.5" customHeight="1" x14ac:dyDescent="0.2"/>
    <row r="642" s="51" customFormat="1" ht="13.5" customHeight="1" x14ac:dyDescent="0.2"/>
    <row r="643" s="51" customFormat="1" ht="13.5" customHeight="1" x14ac:dyDescent="0.2"/>
    <row r="644" s="51" customFormat="1" ht="13.5" customHeight="1" x14ac:dyDescent="0.2"/>
    <row r="645" s="51" customFormat="1" ht="13.5" customHeight="1" x14ac:dyDescent="0.2"/>
    <row r="646" s="51" customFormat="1" ht="13.5" customHeight="1" x14ac:dyDescent="0.2"/>
    <row r="647" s="51" customFormat="1" ht="13.5" customHeight="1" x14ac:dyDescent="0.2"/>
    <row r="648" s="51" customFormat="1" ht="13.5" customHeight="1" x14ac:dyDescent="0.2"/>
    <row r="649" s="51" customFormat="1" ht="13.5" customHeight="1" x14ac:dyDescent="0.2"/>
    <row r="650" s="51" customFormat="1" ht="13.5" customHeight="1" x14ac:dyDescent="0.2"/>
    <row r="651" s="51" customFormat="1" ht="13.5" customHeight="1" x14ac:dyDescent="0.2"/>
    <row r="652" s="51" customFormat="1" ht="13.5" customHeight="1" x14ac:dyDescent="0.2"/>
    <row r="653" s="51" customFormat="1" ht="13.5" customHeight="1" x14ac:dyDescent="0.2"/>
    <row r="654" s="51" customFormat="1" ht="13.5" customHeight="1" x14ac:dyDescent="0.2"/>
    <row r="655" s="51" customFormat="1" ht="13.5" customHeight="1" x14ac:dyDescent="0.2"/>
    <row r="656" s="51" customFormat="1" ht="13.5" customHeight="1" x14ac:dyDescent="0.2"/>
    <row r="657" s="51" customFormat="1" ht="13.5" customHeight="1" x14ac:dyDescent="0.2"/>
    <row r="658" s="51" customFormat="1" ht="13.5" customHeight="1" x14ac:dyDescent="0.2"/>
    <row r="659" s="51" customFormat="1" ht="13.5" customHeight="1" x14ac:dyDescent="0.2"/>
    <row r="660" s="51" customFormat="1" ht="13.5" customHeight="1" x14ac:dyDescent="0.2"/>
    <row r="661" s="51" customFormat="1" ht="13.5" customHeight="1" x14ac:dyDescent="0.2"/>
    <row r="662" s="51" customFormat="1" ht="13.5" customHeight="1" x14ac:dyDescent="0.2"/>
    <row r="663" s="51" customFormat="1" ht="13.5" customHeight="1" x14ac:dyDescent="0.2"/>
    <row r="664" s="51" customFormat="1" ht="13.5" customHeight="1" x14ac:dyDescent="0.2"/>
    <row r="665" s="51" customFormat="1" ht="13.5" customHeight="1" x14ac:dyDescent="0.2"/>
    <row r="666" s="51" customFormat="1" ht="13.5" customHeight="1" x14ac:dyDescent="0.2"/>
    <row r="667" s="51" customFormat="1" ht="13.5" customHeight="1" x14ac:dyDescent="0.2"/>
    <row r="668" s="51" customFormat="1" ht="13.5" customHeight="1" x14ac:dyDescent="0.2"/>
    <row r="669" s="51" customFormat="1" ht="13.5" customHeight="1" x14ac:dyDescent="0.2"/>
    <row r="670" s="51" customFormat="1" ht="13.5" customHeight="1" x14ac:dyDescent="0.2"/>
    <row r="671" s="51" customFormat="1" ht="13.5" customHeight="1" x14ac:dyDescent="0.2"/>
    <row r="672" s="51" customFormat="1" ht="13.5" customHeight="1" x14ac:dyDescent="0.2"/>
    <row r="673" s="51" customFormat="1" ht="13.5" customHeight="1" x14ac:dyDescent="0.2"/>
    <row r="674" s="51" customFormat="1" ht="13.5" customHeight="1" x14ac:dyDescent="0.2"/>
    <row r="675" s="51" customFormat="1" ht="13.5" customHeight="1" x14ac:dyDescent="0.2"/>
    <row r="676" s="51" customFormat="1" ht="13.5" customHeight="1" x14ac:dyDescent="0.2"/>
    <row r="677" s="51" customFormat="1" ht="13.5" customHeight="1" x14ac:dyDescent="0.2"/>
    <row r="678" s="51" customFormat="1" ht="13.5" customHeight="1" x14ac:dyDescent="0.2"/>
    <row r="679" s="51" customFormat="1" ht="13.5" customHeight="1" x14ac:dyDescent="0.2"/>
    <row r="680" s="51" customFormat="1" ht="13.5" customHeight="1" x14ac:dyDescent="0.2"/>
    <row r="681" s="51" customFormat="1" ht="13.5" customHeight="1" x14ac:dyDescent="0.2"/>
    <row r="682" s="51" customFormat="1" ht="13.5" customHeight="1" x14ac:dyDescent="0.2"/>
    <row r="683" s="51" customFormat="1" ht="13.5" customHeight="1" x14ac:dyDescent="0.2"/>
    <row r="684" s="51" customFormat="1" ht="13.5" customHeight="1" x14ac:dyDescent="0.2"/>
    <row r="685" s="51" customFormat="1" ht="13.5" customHeight="1" x14ac:dyDescent="0.2"/>
    <row r="686" s="51" customFormat="1" ht="13.5" customHeight="1" x14ac:dyDescent="0.2"/>
    <row r="687" s="51" customFormat="1" ht="13.5" customHeight="1" x14ac:dyDescent="0.2"/>
    <row r="688" s="51" customFormat="1" ht="13.5" customHeight="1" x14ac:dyDescent="0.2"/>
    <row r="689" s="51" customFormat="1" ht="13.5" customHeight="1" x14ac:dyDescent="0.2"/>
    <row r="690" s="51" customFormat="1" ht="13.5" customHeight="1" x14ac:dyDescent="0.2"/>
    <row r="691" s="51" customFormat="1" ht="13.5" customHeight="1" x14ac:dyDescent="0.2"/>
    <row r="692" s="51" customFormat="1" ht="13.5" customHeight="1" x14ac:dyDescent="0.2"/>
    <row r="693" s="51" customFormat="1" ht="13.5" customHeight="1" x14ac:dyDescent="0.2"/>
    <row r="694" s="51" customFormat="1" ht="13.5" customHeight="1" x14ac:dyDescent="0.2"/>
    <row r="695" s="51" customFormat="1" ht="13.5" customHeight="1" x14ac:dyDescent="0.2"/>
    <row r="696" s="51" customFormat="1" ht="13.5" customHeight="1" x14ac:dyDescent="0.2"/>
    <row r="697" s="51" customFormat="1" ht="13.5" customHeight="1" x14ac:dyDescent="0.2"/>
    <row r="698" s="51" customFormat="1" ht="13.5" customHeight="1" x14ac:dyDescent="0.2"/>
    <row r="699" s="51" customFormat="1" ht="13.5" customHeight="1" x14ac:dyDescent="0.2"/>
    <row r="700" s="51" customFormat="1" ht="13.5" customHeight="1" x14ac:dyDescent="0.2"/>
    <row r="701" s="51" customFormat="1" ht="13.5" customHeight="1" x14ac:dyDescent="0.2"/>
    <row r="702" s="51" customFormat="1" ht="13.5" customHeight="1" x14ac:dyDescent="0.2"/>
    <row r="703" s="51" customFormat="1" ht="13.5" customHeight="1" x14ac:dyDescent="0.2"/>
    <row r="704" s="51" customFormat="1" ht="13.5" customHeight="1" x14ac:dyDescent="0.2"/>
    <row r="705" s="51" customFormat="1" ht="13.5" customHeight="1" x14ac:dyDescent="0.2"/>
    <row r="706" s="51" customFormat="1" ht="13.5" customHeight="1" x14ac:dyDescent="0.2"/>
    <row r="707" s="51" customFormat="1" ht="13.5" customHeight="1" x14ac:dyDescent="0.2"/>
    <row r="708" s="51" customFormat="1" ht="13.5" customHeight="1" x14ac:dyDescent="0.2"/>
    <row r="709" s="51" customFormat="1" ht="13.5" customHeight="1" x14ac:dyDescent="0.2"/>
    <row r="710" s="51" customFormat="1" ht="13.5" customHeight="1" x14ac:dyDescent="0.2"/>
    <row r="711" s="51" customFormat="1" ht="13.5" customHeight="1" x14ac:dyDescent="0.2"/>
    <row r="712" s="51" customFormat="1" ht="13.5" customHeight="1" x14ac:dyDescent="0.2"/>
    <row r="713" s="51" customFormat="1" ht="13.5" customHeight="1" x14ac:dyDescent="0.2"/>
    <row r="714" s="51" customFormat="1" ht="13.5" customHeight="1" x14ac:dyDescent="0.2"/>
    <row r="715" s="51" customFormat="1" ht="13.5" customHeight="1" x14ac:dyDescent="0.2"/>
    <row r="716" s="51" customFormat="1" ht="13.5" customHeight="1" x14ac:dyDescent="0.2"/>
    <row r="717" s="51" customFormat="1" ht="13.5" customHeight="1" x14ac:dyDescent="0.2"/>
    <row r="718" s="51" customFormat="1" ht="13.5" customHeight="1" x14ac:dyDescent="0.2"/>
    <row r="719" s="51" customFormat="1" ht="13.5" customHeight="1" x14ac:dyDescent="0.2"/>
    <row r="720" s="51" customFormat="1" ht="13.5" customHeight="1" x14ac:dyDescent="0.2"/>
    <row r="721" s="51" customFormat="1" ht="13.5" customHeight="1" x14ac:dyDescent="0.2"/>
    <row r="722" s="51" customFormat="1" ht="13.5" customHeight="1" x14ac:dyDescent="0.2"/>
    <row r="723" s="51" customFormat="1" ht="13.5" customHeight="1" x14ac:dyDescent="0.2"/>
    <row r="724" s="51" customFormat="1" ht="13.5" customHeight="1" x14ac:dyDescent="0.2"/>
    <row r="725" s="51" customFormat="1" ht="13.5" customHeight="1" x14ac:dyDescent="0.2"/>
    <row r="726" s="51" customFormat="1" ht="13.5" customHeight="1" x14ac:dyDescent="0.2"/>
    <row r="727" s="51" customFormat="1" ht="13.5" customHeight="1" x14ac:dyDescent="0.2"/>
    <row r="728" s="51" customFormat="1" ht="13.5" customHeight="1" x14ac:dyDescent="0.2"/>
    <row r="729" s="51" customFormat="1" ht="13.5" customHeight="1" x14ac:dyDescent="0.2"/>
    <row r="730" s="51" customFormat="1" ht="13.5" customHeight="1" x14ac:dyDescent="0.2"/>
    <row r="731" s="51" customFormat="1" ht="13.5" customHeight="1" x14ac:dyDescent="0.2"/>
    <row r="732" s="51" customFormat="1" ht="13.5" customHeight="1" x14ac:dyDescent="0.2"/>
    <row r="733" s="51" customFormat="1" ht="13.5" customHeight="1" x14ac:dyDescent="0.2"/>
    <row r="734" s="51" customFormat="1" ht="13.5" customHeight="1" x14ac:dyDescent="0.2"/>
    <row r="735" s="51" customFormat="1" ht="13.5" customHeight="1" x14ac:dyDescent="0.2"/>
    <row r="736" s="51" customFormat="1" ht="13.5" customHeight="1" x14ac:dyDescent="0.2"/>
    <row r="737" s="51" customFormat="1" ht="13.5" customHeight="1" x14ac:dyDescent="0.2"/>
    <row r="738" s="51" customFormat="1" ht="13.5" customHeight="1" x14ac:dyDescent="0.2"/>
    <row r="739" s="51" customFormat="1" ht="13.5" customHeight="1" x14ac:dyDescent="0.2"/>
    <row r="740" s="51" customFormat="1" ht="13.5" customHeight="1" x14ac:dyDescent="0.2"/>
    <row r="741" s="51" customFormat="1" ht="13.5" customHeight="1" x14ac:dyDescent="0.2"/>
    <row r="742" s="51" customFormat="1" ht="13.5" customHeight="1" x14ac:dyDescent="0.2"/>
    <row r="743" s="51" customFormat="1" ht="13.5" customHeight="1" x14ac:dyDescent="0.2"/>
    <row r="744" s="51" customFormat="1" ht="13.5" customHeight="1" x14ac:dyDescent="0.2"/>
    <row r="745" s="51" customFormat="1" ht="13.5" customHeight="1" x14ac:dyDescent="0.2"/>
    <row r="746" s="51" customFormat="1" ht="13.5" customHeight="1" x14ac:dyDescent="0.2"/>
    <row r="747" s="51" customFormat="1" ht="13.5" customHeight="1" x14ac:dyDescent="0.2"/>
    <row r="748" s="51" customFormat="1" ht="13.5" customHeight="1" x14ac:dyDescent="0.2"/>
    <row r="749" s="51" customFormat="1" ht="13.5" customHeight="1" x14ac:dyDescent="0.2"/>
    <row r="750" s="51" customFormat="1" ht="13.5" customHeight="1" x14ac:dyDescent="0.2"/>
    <row r="751" s="51" customFormat="1" ht="13.5" customHeight="1" x14ac:dyDescent="0.2"/>
    <row r="752" s="51" customFormat="1" ht="13.5" customHeight="1" x14ac:dyDescent="0.2"/>
    <row r="753" s="51" customFormat="1" ht="13.5" customHeight="1" x14ac:dyDescent="0.2"/>
    <row r="754" s="51" customFormat="1" ht="13.5" customHeight="1" x14ac:dyDescent="0.2"/>
    <row r="755" s="51" customFormat="1" ht="13.5" customHeight="1" x14ac:dyDescent="0.2"/>
    <row r="756" s="51" customFormat="1" ht="13.5" customHeight="1" x14ac:dyDescent="0.2"/>
    <row r="757" s="51" customFormat="1" ht="13.5" customHeight="1" x14ac:dyDescent="0.2"/>
    <row r="758" s="51" customFormat="1" ht="13.5" customHeight="1" x14ac:dyDescent="0.2"/>
    <row r="759" s="51" customFormat="1" ht="13.5" customHeight="1" x14ac:dyDescent="0.2"/>
    <row r="760" s="51" customFormat="1" ht="13.5" customHeight="1" x14ac:dyDescent="0.2"/>
    <row r="761" s="51" customFormat="1" ht="13.5" customHeight="1" x14ac:dyDescent="0.2"/>
    <row r="762" s="51" customFormat="1" ht="13.5" customHeight="1" x14ac:dyDescent="0.2"/>
    <row r="763" s="51" customFormat="1" ht="13.5" customHeight="1" x14ac:dyDescent="0.2"/>
    <row r="764" s="51" customFormat="1" ht="13.5" customHeight="1" x14ac:dyDescent="0.2"/>
    <row r="765" s="51" customFormat="1" ht="13.5" customHeight="1" x14ac:dyDescent="0.2"/>
    <row r="766" s="51" customFormat="1" ht="13.5" customHeight="1" x14ac:dyDescent="0.2"/>
    <row r="767" s="51" customFormat="1" ht="13.5" customHeight="1" x14ac:dyDescent="0.2"/>
    <row r="768" s="51" customFormat="1" ht="13.5" customHeight="1" x14ac:dyDescent="0.2"/>
    <row r="769" s="51" customFormat="1" ht="13.5" customHeight="1" x14ac:dyDescent="0.2"/>
    <row r="770" s="51" customFormat="1" ht="13.5" customHeight="1" x14ac:dyDescent="0.2"/>
    <row r="771" s="51" customFormat="1" ht="13.5" customHeight="1" x14ac:dyDescent="0.2"/>
    <row r="772" s="51" customFormat="1" ht="13.5" customHeight="1" x14ac:dyDescent="0.2"/>
    <row r="773" s="51" customFormat="1" ht="13.5" customHeight="1" x14ac:dyDescent="0.2"/>
    <row r="774" s="51" customFormat="1" ht="13.5" customHeight="1" x14ac:dyDescent="0.2"/>
    <row r="775" s="51" customFormat="1" ht="13.5" customHeight="1" x14ac:dyDescent="0.2"/>
    <row r="776" s="51" customFormat="1" ht="13.5" customHeight="1" x14ac:dyDescent="0.2"/>
    <row r="777" s="51" customFormat="1" ht="13.5" customHeight="1" x14ac:dyDescent="0.2"/>
    <row r="778" s="51" customFormat="1" ht="13.5" customHeight="1" x14ac:dyDescent="0.2"/>
    <row r="779" s="51" customFormat="1" ht="13.5" customHeight="1" x14ac:dyDescent="0.2"/>
    <row r="780" s="51" customFormat="1" ht="13.5" customHeight="1" x14ac:dyDescent="0.2"/>
    <row r="781" s="51" customFormat="1" ht="13.5" customHeight="1" x14ac:dyDescent="0.2"/>
    <row r="782" s="51" customFormat="1" ht="13.5" customHeight="1" x14ac:dyDescent="0.2"/>
    <row r="783" s="51" customFormat="1" ht="13.5" customHeight="1" x14ac:dyDescent="0.2"/>
    <row r="784" s="51" customFormat="1" ht="13.5" customHeight="1" x14ac:dyDescent="0.2"/>
    <row r="785" s="51" customFormat="1" ht="13.5" customHeight="1" x14ac:dyDescent="0.2"/>
    <row r="786" s="51" customFormat="1" ht="13.5" customHeight="1" x14ac:dyDescent="0.2"/>
    <row r="787" s="51" customFormat="1" ht="13.5" customHeight="1" x14ac:dyDescent="0.2"/>
    <row r="788" s="51" customFormat="1" ht="13.5" customHeight="1" x14ac:dyDescent="0.2"/>
    <row r="789" s="51" customFormat="1" ht="13.5" customHeight="1" x14ac:dyDescent="0.2"/>
    <row r="790" s="51" customFormat="1" ht="13.5" customHeight="1" x14ac:dyDescent="0.2"/>
    <row r="791" s="51" customFormat="1" ht="13.5" customHeight="1" x14ac:dyDescent="0.2"/>
    <row r="792" s="51" customFormat="1" ht="13.5" customHeight="1" x14ac:dyDescent="0.2"/>
    <row r="793" s="51" customFormat="1" ht="13.5" customHeight="1" x14ac:dyDescent="0.2"/>
    <row r="794" s="51" customFormat="1" ht="13.5" customHeight="1" x14ac:dyDescent="0.2"/>
    <row r="795" s="51" customFormat="1" ht="13.5" customHeight="1" x14ac:dyDescent="0.2"/>
    <row r="796" s="51" customFormat="1" ht="13.5" customHeight="1" x14ac:dyDescent="0.2"/>
    <row r="797" s="51" customFormat="1" ht="13.5" customHeight="1" x14ac:dyDescent="0.2"/>
    <row r="798" s="51" customFormat="1" ht="13.5" customHeight="1" x14ac:dyDescent="0.2"/>
    <row r="799" s="51" customFormat="1" ht="13.5" customHeight="1" x14ac:dyDescent="0.2"/>
    <row r="800" s="51" customFormat="1" ht="13.5" customHeight="1" x14ac:dyDescent="0.2"/>
    <row r="801" s="51" customFormat="1" ht="13.5" customHeight="1" x14ac:dyDescent="0.2"/>
    <row r="802" s="51" customFormat="1" ht="13.5" customHeight="1" x14ac:dyDescent="0.2"/>
    <row r="803" s="51" customFormat="1" ht="13.5" customHeight="1" x14ac:dyDescent="0.2"/>
    <row r="804" s="51" customFormat="1" ht="13.5" customHeight="1" x14ac:dyDescent="0.2"/>
    <row r="805" s="51" customFormat="1" ht="13.5" customHeight="1" x14ac:dyDescent="0.2"/>
    <row r="806" s="51" customFormat="1" ht="13.5" customHeight="1" x14ac:dyDescent="0.2"/>
    <row r="807" s="51" customFormat="1" ht="13.5" customHeight="1" x14ac:dyDescent="0.2"/>
    <row r="808" s="51" customFormat="1" ht="13.5" customHeight="1" x14ac:dyDescent="0.2"/>
    <row r="809" s="51" customFormat="1" ht="13.5" customHeight="1" x14ac:dyDescent="0.2"/>
    <row r="810" s="51" customFormat="1" ht="13.5" customHeight="1" x14ac:dyDescent="0.2"/>
    <row r="811" s="51" customFormat="1" ht="13.5" customHeight="1" x14ac:dyDescent="0.2"/>
    <row r="812" s="51" customFormat="1" ht="13.5" customHeight="1" x14ac:dyDescent="0.2"/>
    <row r="813" s="51" customFormat="1" ht="13.5" customHeight="1" x14ac:dyDescent="0.2"/>
    <row r="814" s="51" customFormat="1" ht="13.5" customHeight="1" x14ac:dyDescent="0.2"/>
    <row r="815" s="51" customFormat="1" ht="13.5" customHeight="1" x14ac:dyDescent="0.2"/>
    <row r="816" s="51" customFormat="1" ht="13.5" customHeight="1" x14ac:dyDescent="0.2"/>
    <row r="817" s="51" customFormat="1" ht="13.5" customHeight="1" x14ac:dyDescent="0.2"/>
    <row r="818" s="51" customFormat="1" ht="13.5" customHeight="1" x14ac:dyDescent="0.2"/>
    <row r="819" s="51" customFormat="1" ht="13.5" customHeight="1" x14ac:dyDescent="0.2"/>
    <row r="820" s="51" customFormat="1" ht="13.5" customHeight="1" x14ac:dyDescent="0.2"/>
    <row r="821" s="51" customFormat="1" ht="13.5" customHeight="1" x14ac:dyDescent="0.2"/>
    <row r="822" s="51" customFormat="1" ht="13.5" customHeight="1" x14ac:dyDescent="0.2"/>
    <row r="823" s="51" customFormat="1" ht="13.5" customHeight="1" x14ac:dyDescent="0.2"/>
    <row r="824" s="51" customFormat="1" ht="13.5" customHeight="1" x14ac:dyDescent="0.2"/>
    <row r="825" s="51" customFormat="1" ht="13.5" customHeight="1" x14ac:dyDescent="0.2"/>
    <row r="826" s="51" customFormat="1" ht="13.5" customHeight="1" x14ac:dyDescent="0.2"/>
    <row r="827" s="51" customFormat="1" ht="13.5" customHeight="1" x14ac:dyDescent="0.2"/>
    <row r="828" s="51" customFormat="1" ht="13.5" customHeight="1" x14ac:dyDescent="0.2"/>
    <row r="829" s="51" customFormat="1" ht="13.5" customHeight="1" x14ac:dyDescent="0.2"/>
    <row r="830" s="51" customFormat="1" ht="13.5" customHeight="1" x14ac:dyDescent="0.2"/>
    <row r="831" s="51" customFormat="1" ht="13.5" customHeight="1" x14ac:dyDescent="0.2"/>
    <row r="832" s="51" customFormat="1" ht="13.5" customHeight="1" x14ac:dyDescent="0.2"/>
    <row r="833" s="51" customFormat="1" ht="13.5" customHeight="1" x14ac:dyDescent="0.2"/>
    <row r="834" s="51" customFormat="1" ht="13.5" customHeight="1" x14ac:dyDescent="0.2"/>
    <row r="835" s="51" customFormat="1" ht="13.5" customHeight="1" x14ac:dyDescent="0.2"/>
    <row r="836" s="51" customFormat="1" ht="13.5" customHeight="1" x14ac:dyDescent="0.2"/>
    <row r="837" s="51" customFormat="1" ht="13.5" customHeight="1" x14ac:dyDescent="0.2"/>
    <row r="838" s="51" customFormat="1" ht="13.5" customHeight="1" x14ac:dyDescent="0.2"/>
    <row r="839" s="51" customFormat="1" ht="13.5" customHeight="1" x14ac:dyDescent="0.2"/>
    <row r="840" s="51" customFormat="1" ht="13.5" customHeight="1" x14ac:dyDescent="0.2"/>
    <row r="841" s="51" customFormat="1" ht="13.5" customHeight="1" x14ac:dyDescent="0.2"/>
    <row r="842" s="51" customFormat="1" ht="13.5" customHeight="1" x14ac:dyDescent="0.2"/>
    <row r="843" s="51" customFormat="1" ht="13.5" customHeight="1" x14ac:dyDescent="0.2"/>
    <row r="844" s="51" customFormat="1" ht="13.5" customHeight="1" x14ac:dyDescent="0.2"/>
    <row r="845" s="51" customFormat="1" ht="13.5" customHeight="1" x14ac:dyDescent="0.2"/>
    <row r="846" s="51" customFormat="1" ht="13.5" customHeight="1" x14ac:dyDescent="0.2"/>
    <row r="847" s="51" customFormat="1" ht="13.5" customHeight="1" x14ac:dyDescent="0.2"/>
    <row r="848" s="51" customFormat="1" ht="13.5" customHeight="1" x14ac:dyDescent="0.2"/>
    <row r="849" s="51" customFormat="1" ht="13.5" customHeight="1" x14ac:dyDescent="0.2"/>
    <row r="850" s="51" customFormat="1" ht="13.5" customHeight="1" x14ac:dyDescent="0.2"/>
    <row r="851" s="51" customFormat="1" ht="13.5" customHeight="1" x14ac:dyDescent="0.2"/>
    <row r="852" s="51" customFormat="1" ht="13.5" customHeight="1" x14ac:dyDescent="0.2"/>
    <row r="853" s="51" customFormat="1" ht="13.5" customHeight="1" x14ac:dyDescent="0.2"/>
    <row r="854" s="51" customFormat="1" ht="13.5" customHeight="1" x14ac:dyDescent="0.2"/>
    <row r="855" s="51" customFormat="1" ht="13.5" customHeight="1" x14ac:dyDescent="0.2"/>
    <row r="856" s="51" customFormat="1" ht="13.5" customHeight="1" x14ac:dyDescent="0.2"/>
    <row r="857" s="51" customFormat="1" ht="13.5" customHeight="1" x14ac:dyDescent="0.2"/>
    <row r="858" s="51" customFormat="1" ht="13.5" customHeight="1" x14ac:dyDescent="0.2"/>
    <row r="859" s="51" customFormat="1" ht="13.5" customHeight="1" x14ac:dyDescent="0.2"/>
    <row r="860" s="51" customFormat="1" ht="13.5" customHeight="1" x14ac:dyDescent="0.2"/>
    <row r="861" s="51" customFormat="1" ht="13.5" customHeight="1" x14ac:dyDescent="0.2"/>
    <row r="862" s="51" customFormat="1" ht="13.5" customHeight="1" x14ac:dyDescent="0.2"/>
    <row r="863" s="51" customFormat="1" ht="13.5" customHeight="1" x14ac:dyDescent="0.2"/>
    <row r="864" s="51" customFormat="1" ht="13.5" customHeight="1" x14ac:dyDescent="0.2"/>
    <row r="865" s="51" customFormat="1" ht="13.5" customHeight="1" x14ac:dyDescent="0.2"/>
    <row r="866" s="51" customFormat="1" ht="13.5" customHeight="1" x14ac:dyDescent="0.2"/>
    <row r="867" s="51" customFormat="1" ht="13.5" customHeight="1" x14ac:dyDescent="0.2"/>
    <row r="868" s="51" customFormat="1" ht="13.5" customHeight="1" x14ac:dyDescent="0.2"/>
    <row r="869" s="51" customFormat="1" ht="13.5" customHeight="1" x14ac:dyDescent="0.2"/>
    <row r="870" s="51" customFormat="1" ht="13.5" customHeight="1" x14ac:dyDescent="0.2"/>
    <row r="871" s="51" customFormat="1" ht="13.5" customHeight="1" x14ac:dyDescent="0.2"/>
    <row r="872" s="51" customFormat="1" ht="13.5" customHeight="1" x14ac:dyDescent="0.2"/>
    <row r="873" s="51" customFormat="1" ht="13.5" customHeight="1" x14ac:dyDescent="0.2"/>
    <row r="874" s="51" customFormat="1" ht="13.5" customHeight="1" x14ac:dyDescent="0.2"/>
    <row r="875" s="51" customFormat="1" ht="13.5" customHeight="1" x14ac:dyDescent="0.2"/>
    <row r="876" s="51" customFormat="1" ht="13.5" customHeight="1" x14ac:dyDescent="0.2"/>
    <row r="877" s="51" customFormat="1" ht="13.5" customHeight="1" x14ac:dyDescent="0.2"/>
    <row r="878" s="51" customFormat="1" ht="13.5" customHeight="1" x14ac:dyDescent="0.2"/>
    <row r="879" s="51" customFormat="1" ht="13.5" customHeight="1" x14ac:dyDescent="0.2"/>
    <row r="880" s="51" customFormat="1" ht="13.5" customHeight="1" x14ac:dyDescent="0.2"/>
    <row r="881" s="51" customFormat="1" ht="13.5" customHeight="1" x14ac:dyDescent="0.2"/>
    <row r="882" s="51" customFormat="1" ht="13.5" customHeight="1" x14ac:dyDescent="0.2"/>
    <row r="883" s="51" customFormat="1" ht="13.5" customHeight="1" x14ac:dyDescent="0.2"/>
    <row r="884" s="51" customFormat="1" ht="13.5" customHeight="1" x14ac:dyDescent="0.2"/>
    <row r="885" s="51" customFormat="1" ht="13.5" customHeight="1" x14ac:dyDescent="0.2"/>
    <row r="886" s="51" customFormat="1" ht="13.5" customHeight="1" x14ac:dyDescent="0.2"/>
    <row r="887" s="51" customFormat="1" ht="13.5" customHeight="1" x14ac:dyDescent="0.2"/>
    <row r="888" s="51" customFormat="1" ht="13.5" customHeight="1" x14ac:dyDescent="0.2"/>
    <row r="889" s="51" customFormat="1" ht="13.5" customHeight="1" x14ac:dyDescent="0.2"/>
    <row r="890" s="51" customFormat="1" ht="13.5" customHeight="1" x14ac:dyDescent="0.2"/>
    <row r="891" s="51" customFormat="1" ht="13.5" customHeight="1" x14ac:dyDescent="0.2"/>
    <row r="892" s="51" customFormat="1" ht="13.5" customHeight="1" x14ac:dyDescent="0.2"/>
    <row r="893" s="51" customFormat="1" ht="13.5" customHeight="1" x14ac:dyDescent="0.2"/>
    <row r="894" s="51" customFormat="1" ht="13.5" customHeight="1" x14ac:dyDescent="0.2"/>
    <row r="895" s="51" customFormat="1" ht="13.5" customHeight="1" x14ac:dyDescent="0.2"/>
    <row r="896" s="51" customFormat="1" ht="13.5" customHeight="1" x14ac:dyDescent="0.2"/>
    <row r="897" s="51" customFormat="1" ht="13.5" customHeight="1" x14ac:dyDescent="0.2"/>
    <row r="898" s="51" customFormat="1" ht="13.5" customHeight="1" x14ac:dyDescent="0.2"/>
    <row r="899" s="51" customFormat="1" ht="13.5" customHeight="1" x14ac:dyDescent="0.2"/>
    <row r="900" s="51" customFormat="1" ht="13.5" customHeight="1" x14ac:dyDescent="0.2"/>
    <row r="901" s="51" customFormat="1" ht="13.5" customHeight="1" x14ac:dyDescent="0.2"/>
    <row r="902" s="51" customFormat="1" ht="13.5" customHeight="1" x14ac:dyDescent="0.2"/>
    <row r="903" s="51" customFormat="1" ht="13.5" customHeight="1" x14ac:dyDescent="0.2"/>
    <row r="904" s="51" customFormat="1" ht="13.5" customHeight="1" x14ac:dyDescent="0.2"/>
    <row r="905" s="51" customFormat="1" ht="13.5" customHeight="1" x14ac:dyDescent="0.2"/>
    <row r="906" s="51" customFormat="1" ht="13.5" customHeight="1" x14ac:dyDescent="0.2"/>
    <row r="907" s="51" customFormat="1" ht="13.5" customHeight="1" x14ac:dyDescent="0.2"/>
    <row r="908" s="51" customFormat="1" ht="13.5" customHeight="1" x14ac:dyDescent="0.2"/>
    <row r="909" s="51" customFormat="1" ht="13.5" customHeight="1" x14ac:dyDescent="0.2"/>
    <row r="910" s="51" customFormat="1" ht="13.5" customHeight="1" x14ac:dyDescent="0.2"/>
    <row r="911" s="51" customFormat="1" ht="13.5" customHeight="1" x14ac:dyDescent="0.2"/>
    <row r="912" s="51" customFormat="1" ht="13.5" customHeight="1" x14ac:dyDescent="0.2"/>
    <row r="913" s="51" customFormat="1" ht="13.5" customHeight="1" x14ac:dyDescent="0.2"/>
    <row r="914" s="51" customFormat="1" ht="13.5" customHeight="1" x14ac:dyDescent="0.2"/>
    <row r="915" s="51" customFormat="1" ht="13.5" customHeight="1" x14ac:dyDescent="0.2"/>
    <row r="916" s="51" customFormat="1" ht="13.5" customHeight="1" x14ac:dyDescent="0.2"/>
    <row r="917" s="51" customFormat="1" ht="13.5" customHeight="1" x14ac:dyDescent="0.2"/>
    <row r="918" s="51" customFormat="1" ht="13.5" customHeight="1" x14ac:dyDescent="0.2"/>
    <row r="919" s="51" customFormat="1" ht="13.5" customHeight="1" x14ac:dyDescent="0.2"/>
    <row r="920" s="51" customFormat="1" ht="13.5" customHeight="1" x14ac:dyDescent="0.2"/>
    <row r="921" s="51" customFormat="1" ht="13.5" customHeight="1" x14ac:dyDescent="0.2"/>
    <row r="922" s="51" customFormat="1" ht="13.5" customHeight="1" x14ac:dyDescent="0.2"/>
    <row r="923" s="51" customFormat="1" ht="13.5" customHeight="1" x14ac:dyDescent="0.2"/>
    <row r="924" s="51" customFormat="1" ht="13.5" customHeight="1" x14ac:dyDescent="0.2"/>
    <row r="925" s="51" customFormat="1" ht="13.5" customHeight="1" x14ac:dyDescent="0.2"/>
    <row r="926" s="51" customFormat="1" ht="13.5" customHeight="1" x14ac:dyDescent="0.2"/>
    <row r="927" s="51" customFormat="1" ht="13.5" customHeight="1" x14ac:dyDescent="0.2"/>
    <row r="928" s="51" customFormat="1" ht="13.5" customHeight="1" x14ac:dyDescent="0.2"/>
    <row r="929" s="51" customFormat="1" ht="13.5" customHeight="1" x14ac:dyDescent="0.2"/>
    <row r="930" s="51" customFormat="1" ht="13.5" customHeight="1" x14ac:dyDescent="0.2"/>
    <row r="931" s="51" customFormat="1" ht="13.5" customHeight="1" x14ac:dyDescent="0.2"/>
    <row r="932" s="51" customFormat="1" ht="13.5" customHeight="1" x14ac:dyDescent="0.2"/>
    <row r="933" s="51" customFormat="1" ht="13.5" customHeight="1" x14ac:dyDescent="0.2"/>
    <row r="934" s="51" customFormat="1" ht="13.5" customHeight="1" x14ac:dyDescent="0.2"/>
    <row r="935" s="51" customFormat="1" ht="13.5" customHeight="1" x14ac:dyDescent="0.2"/>
    <row r="936" s="51" customFormat="1" ht="13.5" customHeight="1" x14ac:dyDescent="0.2"/>
    <row r="937" s="51" customFormat="1" ht="13.5" customHeight="1" x14ac:dyDescent="0.2"/>
    <row r="938" s="51" customFormat="1" ht="13.5" customHeight="1" x14ac:dyDescent="0.2"/>
    <row r="939" s="51" customFormat="1" ht="13.5" customHeight="1" x14ac:dyDescent="0.2"/>
    <row r="940" s="51" customFormat="1" ht="13.5" customHeight="1" x14ac:dyDescent="0.2"/>
    <row r="941" s="51" customFormat="1" ht="13.5" customHeight="1" x14ac:dyDescent="0.2"/>
    <row r="942" s="51" customFormat="1" ht="13.5" customHeight="1" x14ac:dyDescent="0.2"/>
    <row r="943" s="51" customFormat="1" ht="13.5" customHeight="1" x14ac:dyDescent="0.2"/>
    <row r="944" s="51" customFormat="1" ht="13.5" customHeight="1" x14ac:dyDescent="0.2"/>
    <row r="945" s="51" customFormat="1" ht="13.5" customHeight="1" x14ac:dyDescent="0.2"/>
    <row r="946" s="51" customFormat="1" ht="13.5" customHeight="1" x14ac:dyDescent="0.2"/>
    <row r="947" s="51" customFormat="1" ht="13.5" customHeight="1" x14ac:dyDescent="0.2"/>
    <row r="948" s="51" customFormat="1" ht="13.5" customHeight="1" x14ac:dyDescent="0.2"/>
    <row r="949" s="51" customFormat="1" ht="13.5" customHeight="1" x14ac:dyDescent="0.2"/>
    <row r="950" s="51" customFormat="1" ht="13.5" customHeight="1" x14ac:dyDescent="0.2"/>
    <row r="951" s="51" customFormat="1" ht="13.5" customHeight="1" x14ac:dyDescent="0.2"/>
    <row r="952" s="51" customFormat="1" ht="13.5" customHeight="1" x14ac:dyDescent="0.2"/>
    <row r="953" s="51" customFormat="1" ht="13.5" customHeight="1" x14ac:dyDescent="0.2"/>
    <row r="954" s="51" customFormat="1" ht="13.5" customHeight="1" x14ac:dyDescent="0.2"/>
    <row r="955" s="51" customFormat="1" ht="13.5" customHeight="1" x14ac:dyDescent="0.2"/>
    <row r="956" s="51" customFormat="1" ht="13.5" customHeight="1" x14ac:dyDescent="0.2"/>
    <row r="957" s="51" customFormat="1" ht="13.5" customHeight="1" x14ac:dyDescent="0.2"/>
    <row r="958" s="51" customFormat="1" ht="13.5" customHeight="1" x14ac:dyDescent="0.2"/>
    <row r="959" s="51" customFormat="1" ht="13.5" customHeight="1" x14ac:dyDescent="0.2"/>
    <row r="960" s="51" customFormat="1" ht="13.5" customHeight="1" x14ac:dyDescent="0.2"/>
    <row r="961" s="51" customFormat="1" ht="13.5" customHeight="1" x14ac:dyDescent="0.2"/>
    <row r="962" s="51" customFormat="1" ht="13.5" customHeight="1" x14ac:dyDescent="0.2"/>
    <row r="963" s="51" customFormat="1" ht="13.5" customHeight="1" x14ac:dyDescent="0.2"/>
    <row r="964" s="51" customFormat="1" ht="13.5" customHeight="1" x14ac:dyDescent="0.2"/>
    <row r="965" s="51" customFormat="1" ht="13.5" customHeight="1" x14ac:dyDescent="0.2"/>
    <row r="966" s="51" customFormat="1" ht="13.5" customHeight="1" x14ac:dyDescent="0.2"/>
    <row r="967" s="51" customFormat="1" ht="13.5" customHeight="1" x14ac:dyDescent="0.2"/>
    <row r="968" s="51" customFormat="1" ht="13.5" customHeight="1" x14ac:dyDescent="0.2"/>
    <row r="969" s="51" customFormat="1" ht="13.5" customHeight="1" x14ac:dyDescent="0.2"/>
    <row r="970" s="51" customFormat="1" ht="13.5" customHeight="1" x14ac:dyDescent="0.2"/>
    <row r="971" s="51" customFormat="1" ht="13.5" customHeight="1" x14ac:dyDescent="0.2"/>
    <row r="972" s="51" customFormat="1" ht="13.5" customHeight="1" x14ac:dyDescent="0.2"/>
    <row r="973" s="51" customFormat="1" ht="13.5" customHeight="1" x14ac:dyDescent="0.2"/>
    <row r="974" s="51" customFormat="1" ht="13.5" customHeight="1" x14ac:dyDescent="0.2"/>
    <row r="975" s="51" customFormat="1" ht="13.5" customHeight="1" x14ac:dyDescent="0.2"/>
    <row r="976" s="51" customFormat="1" ht="13.5" customHeight="1" x14ac:dyDescent="0.2"/>
    <row r="977" s="51" customFormat="1" ht="13.5" customHeight="1" x14ac:dyDescent="0.2"/>
    <row r="978" s="51" customFormat="1" ht="13.5" customHeight="1" x14ac:dyDescent="0.2"/>
    <row r="979" s="51" customFormat="1" ht="13.5" customHeight="1" x14ac:dyDescent="0.2"/>
    <row r="980" s="51" customFormat="1" ht="13.5" customHeight="1" x14ac:dyDescent="0.2"/>
    <row r="981" s="51" customFormat="1" ht="13.5" customHeight="1" x14ac:dyDescent="0.2"/>
    <row r="982" s="51" customFormat="1" ht="13.5" customHeight="1" x14ac:dyDescent="0.2"/>
    <row r="983" s="51" customFormat="1" ht="13.5" customHeight="1" x14ac:dyDescent="0.2"/>
    <row r="984" s="51" customFormat="1" ht="13.5" customHeight="1" x14ac:dyDescent="0.2"/>
    <row r="985" s="51" customFormat="1" ht="13.5" customHeight="1" x14ac:dyDescent="0.2"/>
    <row r="986" s="51" customFormat="1" ht="13.5" customHeight="1" x14ac:dyDescent="0.2"/>
    <row r="987" s="51" customFormat="1" ht="13.5" customHeight="1" x14ac:dyDescent="0.2"/>
    <row r="988" s="51" customFormat="1" ht="13.5" customHeight="1" x14ac:dyDescent="0.2"/>
    <row r="989" s="51" customFormat="1" ht="13.5" customHeight="1" x14ac:dyDescent="0.2"/>
    <row r="990" s="51" customFormat="1" ht="13.5" customHeight="1" x14ac:dyDescent="0.2"/>
    <row r="991" s="51" customFormat="1" ht="13.5" customHeight="1" x14ac:dyDescent="0.2"/>
    <row r="992" s="51" customFormat="1" ht="13.5" customHeight="1" x14ac:dyDescent="0.2"/>
    <row r="993" s="51" customFormat="1" ht="13.5" customHeight="1" x14ac:dyDescent="0.2"/>
    <row r="994" s="51" customFormat="1" ht="13.5" customHeight="1" x14ac:dyDescent="0.2"/>
    <row r="995" s="51" customFormat="1" ht="13.5" customHeight="1" x14ac:dyDescent="0.2"/>
    <row r="996" s="51" customFormat="1" ht="13.5" customHeight="1" x14ac:dyDescent="0.2"/>
    <row r="997" s="51" customFormat="1" ht="13.5" customHeight="1" x14ac:dyDescent="0.2"/>
    <row r="998" s="51" customFormat="1" ht="13.5" customHeight="1" x14ac:dyDescent="0.2"/>
    <row r="999" s="51" customFormat="1" ht="13.5" customHeight="1" x14ac:dyDescent="0.2"/>
    <row r="1000" s="51" customFormat="1" ht="13.5" customHeight="1" x14ac:dyDescent="0.2"/>
  </sheetData>
  <mergeCells count="5">
    <mergeCell ref="B2:N3"/>
    <mergeCell ref="B4:N4"/>
    <mergeCell ref="B8:N8"/>
    <mergeCell ref="B14:N14"/>
    <mergeCell ref="B21:N21"/>
  </mergeCells>
  <conditionalFormatting sqref="C24:N24">
    <cfRule type="containsText" dxfId="2" priority="1" operator="containsText" text="PASS">
      <formula>NOT(ISERROR(SEARCH(("PASS"),(C24))))</formula>
    </cfRule>
    <cfRule type="containsText" dxfId="1" priority="2" operator="containsText" text="FAIL">
      <formula>NOT(ISERROR(SEARCH(("FAIL"),(C24))))</formula>
    </cfRule>
    <cfRule type="containsText" dxfId="0" priority="3" operator="containsText" text="WATCH">
      <formula>NOT(ISERROR(SEARCH(("WATCH"),(C24))))</formula>
    </cfRule>
  </conditionalFormatting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N1000"/>
  <sheetViews>
    <sheetView showGridLines="0" topLeftCell="V1" workbookViewId="0">
      <selection activeCell="B23" sqref="B23:N23"/>
    </sheetView>
  </sheetViews>
  <sheetFormatPr baseColWidth="10" defaultColWidth="12.6640625" defaultRowHeight="15" customHeight="1" x14ac:dyDescent="0.2"/>
  <cols>
    <col min="1" max="1" width="3.33203125" style="51" customWidth="1"/>
    <col min="2" max="2" width="31" style="51" customWidth="1"/>
    <col min="3" max="14" width="12" style="51" customWidth="1"/>
    <col min="15" max="27" width="8.83203125" style="51" customWidth="1"/>
    <col min="28" max="16384" width="12.6640625" style="51"/>
  </cols>
  <sheetData>
    <row r="2" spans="2:14" ht="13.5" customHeight="1" x14ac:dyDescent="0.2">
      <c r="B2" s="57" t="s">
        <v>305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</row>
    <row r="3" spans="2:14" ht="13.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</row>
    <row r="4" spans="2:14" ht="13.5" customHeight="1" x14ac:dyDescent="0.2">
      <c r="B4" s="74" t="s">
        <v>306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2:14" ht="13.5" customHeight="1" x14ac:dyDescent="0.2"/>
    <row r="6" spans="2:14" ht="13.5" customHeight="1" x14ac:dyDescent="0.2">
      <c r="B6" s="50" t="s">
        <v>183</v>
      </c>
      <c r="C6" s="18">
        <v>46388</v>
      </c>
      <c r="D6" s="18">
        <v>46419</v>
      </c>
      <c r="E6" s="18">
        <v>46447</v>
      </c>
      <c r="F6" s="18">
        <v>46478</v>
      </c>
      <c r="G6" s="18">
        <v>46508</v>
      </c>
      <c r="H6" s="18">
        <v>46539</v>
      </c>
      <c r="I6" s="18">
        <v>46569</v>
      </c>
      <c r="J6" s="18">
        <v>46600</v>
      </c>
      <c r="K6" s="18">
        <v>46631</v>
      </c>
      <c r="L6" s="18">
        <v>46661</v>
      </c>
      <c r="M6" s="18">
        <v>46692</v>
      </c>
      <c r="N6" s="18">
        <v>46722</v>
      </c>
    </row>
    <row r="7" spans="2:14" ht="13.5" customHeight="1" x14ac:dyDescent="0.2"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2:14" ht="13.5" customHeight="1" x14ac:dyDescent="0.2">
      <c r="B8" s="66" t="s">
        <v>307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8"/>
    </row>
    <row r="9" spans="2:14" ht="13.5" customHeight="1" x14ac:dyDescent="0.2">
      <c r="B9" s="19" t="s">
        <v>308</v>
      </c>
      <c r="C9" s="21">
        <f>Assumptions!$F$59</f>
        <v>1500</v>
      </c>
      <c r="D9" s="31">
        <f t="shared" ref="D9:N9" si="0">C12</f>
        <v>1450</v>
      </c>
      <c r="E9" s="31">
        <f t="shared" si="0"/>
        <v>1400</v>
      </c>
      <c r="F9" s="31">
        <f t="shared" si="0"/>
        <v>1350</v>
      </c>
      <c r="G9" s="31">
        <f t="shared" si="0"/>
        <v>1300</v>
      </c>
      <c r="H9" s="31">
        <f t="shared" si="0"/>
        <v>1250</v>
      </c>
      <c r="I9" s="31">
        <f t="shared" si="0"/>
        <v>1200</v>
      </c>
      <c r="J9" s="31">
        <f t="shared" si="0"/>
        <v>1150</v>
      </c>
      <c r="K9" s="31">
        <f t="shared" si="0"/>
        <v>1100</v>
      </c>
      <c r="L9" s="31">
        <f t="shared" si="0"/>
        <v>1050</v>
      </c>
      <c r="M9" s="31">
        <f t="shared" si="0"/>
        <v>1000</v>
      </c>
      <c r="N9" s="31">
        <f t="shared" si="0"/>
        <v>950</v>
      </c>
    </row>
    <row r="10" spans="2:14" ht="13.5" customHeight="1" x14ac:dyDescent="0.2">
      <c r="B10" s="19" t="s">
        <v>309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</row>
    <row r="11" spans="2:14" ht="13.5" customHeight="1" x14ac:dyDescent="0.2">
      <c r="B11" s="19" t="s">
        <v>310</v>
      </c>
      <c r="C11" s="21">
        <f>MIN(Assumptions!$F$46,C9+C10)</f>
        <v>50</v>
      </c>
      <c r="D11" s="21">
        <f>MIN(Assumptions!$F$46,D9+D10)</f>
        <v>50</v>
      </c>
      <c r="E11" s="21">
        <f>MIN(Assumptions!$F$46,E9+E10)</f>
        <v>50</v>
      </c>
      <c r="F11" s="21">
        <f>MIN(Assumptions!$F$46,F9+F10)</f>
        <v>50</v>
      </c>
      <c r="G11" s="21">
        <f>MIN(Assumptions!$F$46,G9+G10)</f>
        <v>50</v>
      </c>
      <c r="H11" s="21">
        <f>MIN(Assumptions!$F$46,H9+H10)</f>
        <v>50</v>
      </c>
      <c r="I11" s="21">
        <f>MIN(Assumptions!$F$46,I9+I10)</f>
        <v>50</v>
      </c>
      <c r="J11" s="21">
        <f>MIN(Assumptions!$F$46,J9+J10)</f>
        <v>50</v>
      </c>
      <c r="K11" s="21">
        <f>MIN(Assumptions!$F$46,K9+K10)</f>
        <v>50</v>
      </c>
      <c r="L11" s="21">
        <f>MIN(Assumptions!$F$46,L9+L10)</f>
        <v>50</v>
      </c>
      <c r="M11" s="21">
        <f>MIN(Assumptions!$F$46,M9+M10)</f>
        <v>50</v>
      </c>
      <c r="N11" s="21">
        <f>MIN(Assumptions!$F$46,N9+N10)</f>
        <v>50</v>
      </c>
    </row>
    <row r="12" spans="2:14" ht="13.5" customHeight="1" x14ac:dyDescent="0.2">
      <c r="B12" s="22" t="s">
        <v>311</v>
      </c>
      <c r="C12" s="23">
        <f t="shared" ref="C12:N12" si="1">C9+C10-C11</f>
        <v>1450</v>
      </c>
      <c r="D12" s="23">
        <f t="shared" si="1"/>
        <v>1400</v>
      </c>
      <c r="E12" s="23">
        <f t="shared" si="1"/>
        <v>1350</v>
      </c>
      <c r="F12" s="23">
        <f t="shared" si="1"/>
        <v>1300</v>
      </c>
      <c r="G12" s="23">
        <f t="shared" si="1"/>
        <v>1250</v>
      </c>
      <c r="H12" s="23">
        <f t="shared" si="1"/>
        <v>1200</v>
      </c>
      <c r="I12" s="23">
        <f t="shared" si="1"/>
        <v>1150</v>
      </c>
      <c r="J12" s="23">
        <f t="shared" si="1"/>
        <v>1100</v>
      </c>
      <c r="K12" s="23">
        <f t="shared" si="1"/>
        <v>1050</v>
      </c>
      <c r="L12" s="23">
        <f t="shared" si="1"/>
        <v>1000</v>
      </c>
      <c r="M12" s="23">
        <f t="shared" si="1"/>
        <v>950</v>
      </c>
      <c r="N12" s="23">
        <f t="shared" si="1"/>
        <v>900</v>
      </c>
    </row>
    <row r="13" spans="2:14" ht="13.5" customHeight="1" x14ac:dyDescent="0.2">
      <c r="B13" s="19" t="s">
        <v>156</v>
      </c>
      <c r="C13" s="29">
        <f>Assumptions!$F$47</f>
        <v>0.08</v>
      </c>
      <c r="D13" s="29">
        <f>Assumptions!$F$47</f>
        <v>0.08</v>
      </c>
      <c r="E13" s="29">
        <f>Assumptions!$F$47</f>
        <v>0.08</v>
      </c>
      <c r="F13" s="29">
        <f>Assumptions!$F$47</f>
        <v>0.08</v>
      </c>
      <c r="G13" s="29">
        <f>Assumptions!$F$47</f>
        <v>0.08</v>
      </c>
      <c r="H13" s="29">
        <f>Assumptions!$F$47</f>
        <v>0.08</v>
      </c>
      <c r="I13" s="29">
        <f>Assumptions!$F$47</f>
        <v>0.08</v>
      </c>
      <c r="J13" s="29">
        <f>Assumptions!$F$47</f>
        <v>0.08</v>
      </c>
      <c r="K13" s="29">
        <f>Assumptions!$F$47</f>
        <v>0.08</v>
      </c>
      <c r="L13" s="29">
        <f>Assumptions!$F$47</f>
        <v>0.08</v>
      </c>
      <c r="M13" s="29">
        <f>Assumptions!$F$47</f>
        <v>0.08</v>
      </c>
      <c r="N13" s="29">
        <f>Assumptions!$F$47</f>
        <v>0.08</v>
      </c>
    </row>
    <row r="14" spans="2:14" ht="13.5" customHeight="1" x14ac:dyDescent="0.2">
      <c r="B14" s="19" t="s">
        <v>312</v>
      </c>
      <c r="C14" s="31">
        <f t="shared" ref="C14:N14" si="2">AVERAGE(C9,C12)*C13/12</f>
        <v>9.8333333333333339</v>
      </c>
      <c r="D14" s="31">
        <f t="shared" si="2"/>
        <v>9.5</v>
      </c>
      <c r="E14" s="31">
        <f t="shared" si="2"/>
        <v>9.1666666666666661</v>
      </c>
      <c r="F14" s="31">
        <f t="shared" si="2"/>
        <v>8.8333333333333339</v>
      </c>
      <c r="G14" s="31">
        <f t="shared" si="2"/>
        <v>8.5</v>
      </c>
      <c r="H14" s="31">
        <f t="shared" si="2"/>
        <v>8.1666666666666661</v>
      </c>
      <c r="I14" s="31">
        <f t="shared" si="2"/>
        <v>7.833333333333333</v>
      </c>
      <c r="J14" s="31">
        <f t="shared" si="2"/>
        <v>7.5</v>
      </c>
      <c r="K14" s="31">
        <f t="shared" si="2"/>
        <v>7.166666666666667</v>
      </c>
      <c r="L14" s="31">
        <f t="shared" si="2"/>
        <v>6.833333333333333</v>
      </c>
      <c r="M14" s="31">
        <f t="shared" si="2"/>
        <v>6.5</v>
      </c>
      <c r="N14" s="31">
        <f t="shared" si="2"/>
        <v>6.166666666666667</v>
      </c>
    </row>
    <row r="15" spans="2:14" ht="13.5" customHeight="1" x14ac:dyDescent="0.2">
      <c r="B15" s="19" t="s">
        <v>313</v>
      </c>
      <c r="C15" s="31">
        <f t="shared" ref="C15:N15" si="3">ROUND(C12-(C9+C10-C11),2)</f>
        <v>0</v>
      </c>
      <c r="D15" s="31">
        <f t="shared" si="3"/>
        <v>0</v>
      </c>
      <c r="E15" s="31">
        <f t="shared" si="3"/>
        <v>0</v>
      </c>
      <c r="F15" s="31">
        <f t="shared" si="3"/>
        <v>0</v>
      </c>
      <c r="G15" s="31">
        <f t="shared" si="3"/>
        <v>0</v>
      </c>
      <c r="H15" s="31">
        <f t="shared" si="3"/>
        <v>0</v>
      </c>
      <c r="I15" s="31">
        <f t="shared" si="3"/>
        <v>0</v>
      </c>
      <c r="J15" s="31">
        <f t="shared" si="3"/>
        <v>0</v>
      </c>
      <c r="K15" s="31">
        <f t="shared" si="3"/>
        <v>0</v>
      </c>
      <c r="L15" s="31">
        <f t="shared" si="3"/>
        <v>0</v>
      </c>
      <c r="M15" s="31">
        <f t="shared" si="3"/>
        <v>0</v>
      </c>
      <c r="N15" s="31">
        <f t="shared" si="3"/>
        <v>0</v>
      </c>
    </row>
    <row r="16" spans="2:14" ht="13.5" customHeight="1" x14ac:dyDescent="0.2">
      <c r="B16" s="19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2:14" ht="13.5" customHeight="1" x14ac:dyDescent="0.2">
      <c r="B17" s="66" t="s">
        <v>314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8"/>
    </row>
    <row r="18" spans="2:14" ht="13.5" customHeight="1" x14ac:dyDescent="0.2">
      <c r="B18" s="19" t="s">
        <v>315</v>
      </c>
      <c r="C18" s="21">
        <f>OpEx!C$35-'FA &amp; D&amp;A'!C$17</f>
        <v>-662.78961982222222</v>
      </c>
      <c r="D18" s="21">
        <f>OpEx!D$35-'FA &amp; D&amp;A'!D$17</f>
        <v>-668.64864340093368</v>
      </c>
      <c r="E18" s="21">
        <f>OpEx!E$35-'FA &amp; D&amp;A'!E$17</f>
        <v>-672.14674109392251</v>
      </c>
      <c r="F18" s="21">
        <f>OpEx!F$35-'FA &amp; D&amp;A'!F$17</f>
        <v>-672.37174661733025</v>
      </c>
      <c r="G18" s="21">
        <f>OpEx!G$35-'FA &amp; D&amp;A'!G$17</f>
        <v>-668.86960425864675</v>
      </c>
      <c r="H18" s="21">
        <f>OpEx!H$35-'FA &amp; D&amp;A'!H$17</f>
        <v>-661.66127585271067</v>
      </c>
      <c r="I18" s="21">
        <f>OpEx!I$35-'FA &amp; D&amp;A'!I$17</f>
        <v>-650.76759693837755</v>
      </c>
      <c r="J18" s="21">
        <f>OpEx!J$35-'FA &amp; D&amp;A'!J$17</f>
        <v>-636.2092775160977</v>
      </c>
      <c r="K18" s="21">
        <f>OpEx!K$35-'FA &amp; D&amp;A'!K$17</f>
        <v>-618.00690280095182</v>
      </c>
      <c r="L18" s="21">
        <f>OpEx!L$35-'FA &amp; D&amp;A'!L$17</f>
        <v>-596.18093397116547</v>
      </c>
      <c r="M18" s="21">
        <f>OpEx!M$35-'FA &amp; D&amp;A'!M$17</f>
        <v>-570.75170891213281</v>
      </c>
      <c r="N18" s="21">
        <f>OpEx!N$35-'FA &amp; D&amp;A'!N$17</f>
        <v>-541.73944295597664</v>
      </c>
    </row>
    <row r="19" spans="2:14" ht="13.5" customHeight="1" x14ac:dyDescent="0.2">
      <c r="B19" s="19" t="s">
        <v>316</v>
      </c>
      <c r="C19" s="31">
        <f t="shared" ref="C19:N19" si="4">C18-C14</f>
        <v>-672.62295315555559</v>
      </c>
      <c r="D19" s="31">
        <f t="shared" si="4"/>
        <v>-678.14864340093368</v>
      </c>
      <c r="E19" s="31">
        <f t="shared" si="4"/>
        <v>-681.31340776058914</v>
      </c>
      <c r="F19" s="31">
        <f t="shared" si="4"/>
        <v>-681.20507995066362</v>
      </c>
      <c r="G19" s="31">
        <f t="shared" si="4"/>
        <v>-677.36960425864675</v>
      </c>
      <c r="H19" s="31">
        <f t="shared" si="4"/>
        <v>-669.8279425193773</v>
      </c>
      <c r="I19" s="31">
        <f t="shared" si="4"/>
        <v>-658.60093027171092</v>
      </c>
      <c r="J19" s="31">
        <f t="shared" si="4"/>
        <v>-643.7092775160977</v>
      </c>
      <c r="K19" s="31">
        <f t="shared" si="4"/>
        <v>-625.17356946761845</v>
      </c>
      <c r="L19" s="31">
        <f t="shared" si="4"/>
        <v>-603.01426730449884</v>
      </c>
      <c r="M19" s="31">
        <f t="shared" si="4"/>
        <v>-577.25170891213281</v>
      </c>
      <c r="N19" s="31">
        <f t="shared" si="4"/>
        <v>-547.90610962264327</v>
      </c>
    </row>
    <row r="20" spans="2:14" ht="13.5" customHeight="1" x14ac:dyDescent="0.2">
      <c r="B20" s="19" t="s">
        <v>158</v>
      </c>
      <c r="C20" s="29">
        <f>Assumptions!$F$48</f>
        <v>0.21</v>
      </c>
      <c r="D20" s="29">
        <f>Assumptions!$F$48</f>
        <v>0.21</v>
      </c>
      <c r="E20" s="29">
        <f>Assumptions!$F$48</f>
        <v>0.21</v>
      </c>
      <c r="F20" s="29">
        <f>Assumptions!$F$48</f>
        <v>0.21</v>
      </c>
      <c r="G20" s="29">
        <f>Assumptions!$F$48</f>
        <v>0.21</v>
      </c>
      <c r="H20" s="29">
        <f>Assumptions!$F$48</f>
        <v>0.21</v>
      </c>
      <c r="I20" s="29">
        <f>Assumptions!$F$48</f>
        <v>0.21</v>
      </c>
      <c r="J20" s="29">
        <f>Assumptions!$F$48</f>
        <v>0.21</v>
      </c>
      <c r="K20" s="29">
        <f>Assumptions!$F$48</f>
        <v>0.21</v>
      </c>
      <c r="L20" s="29">
        <f>Assumptions!$F$48</f>
        <v>0.21</v>
      </c>
      <c r="M20" s="29">
        <f>Assumptions!$F$48</f>
        <v>0.21</v>
      </c>
      <c r="N20" s="29">
        <f>Assumptions!$F$48</f>
        <v>0.21</v>
      </c>
    </row>
    <row r="21" spans="2:14" ht="13.5" customHeight="1" x14ac:dyDescent="0.2">
      <c r="B21" s="19" t="s">
        <v>317</v>
      </c>
      <c r="C21" s="31">
        <f t="shared" ref="C21:N21" si="5">MAX(0,C19*C20)</f>
        <v>0</v>
      </c>
      <c r="D21" s="31">
        <f t="shared" si="5"/>
        <v>0</v>
      </c>
      <c r="E21" s="31">
        <f t="shared" si="5"/>
        <v>0</v>
      </c>
      <c r="F21" s="31">
        <f t="shared" si="5"/>
        <v>0</v>
      </c>
      <c r="G21" s="31">
        <f t="shared" si="5"/>
        <v>0</v>
      </c>
      <c r="H21" s="31">
        <f t="shared" si="5"/>
        <v>0</v>
      </c>
      <c r="I21" s="31">
        <f t="shared" si="5"/>
        <v>0</v>
      </c>
      <c r="J21" s="31">
        <f t="shared" si="5"/>
        <v>0</v>
      </c>
      <c r="K21" s="31">
        <f t="shared" si="5"/>
        <v>0</v>
      </c>
      <c r="L21" s="31">
        <f t="shared" si="5"/>
        <v>0</v>
      </c>
      <c r="M21" s="31">
        <f t="shared" si="5"/>
        <v>0</v>
      </c>
      <c r="N21" s="31">
        <f t="shared" si="5"/>
        <v>0</v>
      </c>
    </row>
    <row r="22" spans="2:14" ht="13.5" customHeight="1" x14ac:dyDescent="0.2">
      <c r="B22" s="1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2:14" ht="13.5" customHeight="1" x14ac:dyDescent="0.2">
      <c r="B23" s="66" t="s">
        <v>318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8"/>
    </row>
    <row r="24" spans="2:14" ht="13.5" customHeight="1" x14ac:dyDescent="0.2">
      <c r="B24" s="19" t="s">
        <v>319</v>
      </c>
      <c r="C24" s="21">
        <f>Assumptions!$F$60</f>
        <v>2000</v>
      </c>
      <c r="D24" s="31">
        <f t="shared" ref="D24:N24" si="6">C26</f>
        <v>2000</v>
      </c>
      <c r="E24" s="31">
        <f t="shared" si="6"/>
        <v>2000</v>
      </c>
      <c r="F24" s="31">
        <f t="shared" si="6"/>
        <v>2000</v>
      </c>
      <c r="G24" s="31">
        <f t="shared" si="6"/>
        <v>2000</v>
      </c>
      <c r="H24" s="31">
        <f t="shared" si="6"/>
        <v>2000</v>
      </c>
      <c r="I24" s="31">
        <f t="shared" si="6"/>
        <v>2000</v>
      </c>
      <c r="J24" s="31">
        <f t="shared" si="6"/>
        <v>2000</v>
      </c>
      <c r="K24" s="31">
        <f t="shared" si="6"/>
        <v>2000</v>
      </c>
      <c r="L24" s="31">
        <f t="shared" si="6"/>
        <v>2000</v>
      </c>
      <c r="M24" s="31">
        <f t="shared" si="6"/>
        <v>2000</v>
      </c>
      <c r="N24" s="31">
        <f t="shared" si="6"/>
        <v>2000</v>
      </c>
    </row>
    <row r="25" spans="2:14" ht="13.5" customHeight="1" x14ac:dyDescent="0.2">
      <c r="B25" s="19" t="s">
        <v>320</v>
      </c>
      <c r="C25" s="21">
        <f>Assumptions!$F$49</f>
        <v>0</v>
      </c>
      <c r="D25" s="21">
        <f>Assumptions!$F$49</f>
        <v>0</v>
      </c>
      <c r="E25" s="21">
        <f>Assumptions!$F$49</f>
        <v>0</v>
      </c>
      <c r="F25" s="21">
        <f>Assumptions!$F$49</f>
        <v>0</v>
      </c>
      <c r="G25" s="21">
        <f>Assumptions!$F$49</f>
        <v>0</v>
      </c>
      <c r="H25" s="21">
        <f>Assumptions!$F$49</f>
        <v>0</v>
      </c>
      <c r="I25" s="21">
        <f>Assumptions!$F$49</f>
        <v>0</v>
      </c>
      <c r="J25" s="21">
        <f>Assumptions!$F$49</f>
        <v>0</v>
      </c>
      <c r="K25" s="21">
        <f>Assumptions!$F$49</f>
        <v>0</v>
      </c>
      <c r="L25" s="21">
        <f>Assumptions!$F$49</f>
        <v>0</v>
      </c>
      <c r="M25" s="21">
        <f>Assumptions!$F$49</f>
        <v>0</v>
      </c>
      <c r="N25" s="21">
        <f>Assumptions!$F$49</f>
        <v>0</v>
      </c>
    </row>
    <row r="26" spans="2:14" ht="13.5" customHeight="1" x14ac:dyDescent="0.2">
      <c r="B26" s="19" t="s">
        <v>321</v>
      </c>
      <c r="C26" s="31">
        <f t="shared" ref="C26:N26" si="7">C24+C25</f>
        <v>2000</v>
      </c>
      <c r="D26" s="31">
        <f t="shared" si="7"/>
        <v>2000</v>
      </c>
      <c r="E26" s="31">
        <f t="shared" si="7"/>
        <v>2000</v>
      </c>
      <c r="F26" s="31">
        <f t="shared" si="7"/>
        <v>2000</v>
      </c>
      <c r="G26" s="31">
        <f t="shared" si="7"/>
        <v>2000</v>
      </c>
      <c r="H26" s="31">
        <f t="shared" si="7"/>
        <v>2000</v>
      </c>
      <c r="I26" s="31">
        <f t="shared" si="7"/>
        <v>2000</v>
      </c>
      <c r="J26" s="31">
        <f t="shared" si="7"/>
        <v>2000</v>
      </c>
      <c r="K26" s="31">
        <f t="shared" si="7"/>
        <v>2000</v>
      </c>
      <c r="L26" s="31">
        <f t="shared" si="7"/>
        <v>2000</v>
      </c>
      <c r="M26" s="31">
        <f t="shared" si="7"/>
        <v>2000</v>
      </c>
      <c r="N26" s="31">
        <f t="shared" si="7"/>
        <v>2000</v>
      </c>
    </row>
    <row r="27" spans="2:14" ht="13.5" customHeight="1" x14ac:dyDescent="0.2">
      <c r="B27" s="19" t="s">
        <v>322</v>
      </c>
      <c r="C27" s="31">
        <f t="shared" ref="C27:N27" si="8">ROUND(C26-(C24+C25),2)</f>
        <v>0</v>
      </c>
      <c r="D27" s="31">
        <f t="shared" si="8"/>
        <v>0</v>
      </c>
      <c r="E27" s="31">
        <f t="shared" si="8"/>
        <v>0</v>
      </c>
      <c r="F27" s="31">
        <f t="shared" si="8"/>
        <v>0</v>
      </c>
      <c r="G27" s="31">
        <f t="shared" si="8"/>
        <v>0</v>
      </c>
      <c r="H27" s="31">
        <f t="shared" si="8"/>
        <v>0</v>
      </c>
      <c r="I27" s="31">
        <f t="shared" si="8"/>
        <v>0</v>
      </c>
      <c r="J27" s="31">
        <f t="shared" si="8"/>
        <v>0</v>
      </c>
      <c r="K27" s="31">
        <f t="shared" si="8"/>
        <v>0</v>
      </c>
      <c r="L27" s="31">
        <f t="shared" si="8"/>
        <v>0</v>
      </c>
      <c r="M27" s="31">
        <f t="shared" si="8"/>
        <v>0</v>
      </c>
      <c r="N27" s="31">
        <f t="shared" si="8"/>
        <v>0</v>
      </c>
    </row>
    <row r="28" spans="2:14" ht="13.5" customHeight="1" x14ac:dyDescent="0.2">
      <c r="B28" s="1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  <row r="29" spans="2:14" ht="13.5" customHeight="1" x14ac:dyDescent="0.2">
      <c r="B29" s="66" t="s">
        <v>323</v>
      </c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8"/>
    </row>
    <row r="30" spans="2:14" ht="13.5" customHeight="1" x14ac:dyDescent="0.2">
      <c r="B30" s="19" t="s">
        <v>324</v>
      </c>
      <c r="C30" s="21">
        <f>Assumptions!$F$61</f>
        <v>2270</v>
      </c>
      <c r="D30" s="31">
        <f t="shared" ref="D30:N30" si="9">C34</f>
        <v>1597.3770468444445</v>
      </c>
      <c r="E30" s="31">
        <f t="shared" si="9"/>
        <v>919.22840344351073</v>
      </c>
      <c r="F30" s="31">
        <f t="shared" si="9"/>
        <v>237.91499568292159</v>
      </c>
      <c r="G30" s="31">
        <f t="shared" si="9"/>
        <v>-443.29008426774203</v>
      </c>
      <c r="H30" s="31">
        <f t="shared" si="9"/>
        <v>-1120.6596885263889</v>
      </c>
      <c r="I30" s="31">
        <f t="shared" si="9"/>
        <v>-1790.4876310457662</v>
      </c>
      <c r="J30" s="31">
        <f t="shared" si="9"/>
        <v>-2449.0885613174769</v>
      </c>
      <c r="K30" s="31">
        <f t="shared" si="9"/>
        <v>-3092.7978388335746</v>
      </c>
      <c r="L30" s="31">
        <f t="shared" si="9"/>
        <v>-3717.9714083011932</v>
      </c>
      <c r="M30" s="31">
        <f t="shared" si="9"/>
        <v>-4320.9856756056915</v>
      </c>
      <c r="N30" s="31">
        <f t="shared" si="9"/>
        <v>-4898.2373845178245</v>
      </c>
    </row>
    <row r="31" spans="2:14" ht="13.5" customHeight="1" x14ac:dyDescent="0.2">
      <c r="B31" s="19" t="s">
        <v>325</v>
      </c>
      <c r="C31" s="21">
        <f>IS!C$29</f>
        <v>-672.62295315555559</v>
      </c>
      <c r="D31" s="21">
        <f>IS!D$29</f>
        <v>-678.14864340093379</v>
      </c>
      <c r="E31" s="21">
        <f>IS!E$29</f>
        <v>-681.31340776058914</v>
      </c>
      <c r="F31" s="21">
        <f>IS!F$29</f>
        <v>-681.20507995066362</v>
      </c>
      <c r="G31" s="21">
        <f>IS!G$29</f>
        <v>-677.36960425864686</v>
      </c>
      <c r="H31" s="21">
        <f>IS!H$29</f>
        <v>-669.82794251937719</v>
      </c>
      <c r="I31" s="21">
        <f>IS!I$29</f>
        <v>-658.60093027171092</v>
      </c>
      <c r="J31" s="21">
        <f>IS!J$29</f>
        <v>-643.70927751609759</v>
      </c>
      <c r="K31" s="21">
        <f>IS!K$29</f>
        <v>-625.17356946761834</v>
      </c>
      <c r="L31" s="21">
        <f>IS!L$29</f>
        <v>-603.01426730449873</v>
      </c>
      <c r="M31" s="21">
        <f>IS!M$29</f>
        <v>-577.25170891213281</v>
      </c>
      <c r="N31" s="21">
        <f>IS!N$29</f>
        <v>-547.90610962264327</v>
      </c>
    </row>
    <row r="32" spans="2:14" ht="13.5" customHeight="1" x14ac:dyDescent="0.2">
      <c r="B32" s="19" t="s">
        <v>326</v>
      </c>
      <c r="C32" s="21">
        <f>Assumptions!$F$50</f>
        <v>0</v>
      </c>
      <c r="D32" s="21">
        <f>Assumptions!$F$50</f>
        <v>0</v>
      </c>
      <c r="E32" s="21">
        <f>Assumptions!$F$50</f>
        <v>0</v>
      </c>
      <c r="F32" s="21">
        <f>Assumptions!$F$50</f>
        <v>0</v>
      </c>
      <c r="G32" s="21">
        <f>Assumptions!$F$50</f>
        <v>0</v>
      </c>
      <c r="H32" s="21">
        <f>Assumptions!$F$50</f>
        <v>0</v>
      </c>
      <c r="I32" s="21">
        <f>Assumptions!$F$50</f>
        <v>0</v>
      </c>
      <c r="J32" s="21">
        <f>Assumptions!$F$50</f>
        <v>0</v>
      </c>
      <c r="K32" s="21">
        <f>Assumptions!$F$50</f>
        <v>0</v>
      </c>
      <c r="L32" s="21">
        <f>Assumptions!$F$50</f>
        <v>0</v>
      </c>
      <c r="M32" s="21">
        <f>Assumptions!$F$50</f>
        <v>0</v>
      </c>
      <c r="N32" s="21">
        <f>Assumptions!$F$50</f>
        <v>0</v>
      </c>
    </row>
    <row r="33" spans="2:14" ht="13.5" customHeight="1" x14ac:dyDescent="0.2">
      <c r="B33" s="19" t="s">
        <v>327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</row>
    <row r="34" spans="2:14" ht="13.5" customHeight="1" x14ac:dyDescent="0.2">
      <c r="B34" s="22" t="s">
        <v>328</v>
      </c>
      <c r="C34" s="23">
        <f t="shared" ref="C34:N34" si="10">C30+C31-C32+C33</f>
        <v>1597.3770468444445</v>
      </c>
      <c r="D34" s="23">
        <f t="shared" si="10"/>
        <v>919.22840344351073</v>
      </c>
      <c r="E34" s="23">
        <f t="shared" si="10"/>
        <v>237.91499568292159</v>
      </c>
      <c r="F34" s="23">
        <f t="shared" si="10"/>
        <v>-443.29008426774203</v>
      </c>
      <c r="G34" s="23">
        <f t="shared" si="10"/>
        <v>-1120.6596885263889</v>
      </c>
      <c r="H34" s="23">
        <f t="shared" si="10"/>
        <v>-1790.4876310457662</v>
      </c>
      <c r="I34" s="23">
        <f t="shared" si="10"/>
        <v>-2449.0885613174769</v>
      </c>
      <c r="J34" s="23">
        <f t="shared" si="10"/>
        <v>-3092.7978388335746</v>
      </c>
      <c r="K34" s="23">
        <f t="shared" si="10"/>
        <v>-3717.9714083011932</v>
      </c>
      <c r="L34" s="23">
        <f t="shared" si="10"/>
        <v>-4320.9856756056915</v>
      </c>
      <c r="M34" s="23">
        <f t="shared" si="10"/>
        <v>-4898.2373845178245</v>
      </c>
      <c r="N34" s="23">
        <f t="shared" si="10"/>
        <v>-5446.1434941404677</v>
      </c>
    </row>
    <row r="35" spans="2:14" ht="13.5" customHeight="1" x14ac:dyDescent="0.2">
      <c r="B35" s="19" t="s">
        <v>329</v>
      </c>
      <c r="C35" s="31">
        <f t="shared" ref="C35:N35" si="11">ROUND(C34-(C30+C31-C32+C33),2)</f>
        <v>0</v>
      </c>
      <c r="D35" s="31">
        <f t="shared" si="11"/>
        <v>0</v>
      </c>
      <c r="E35" s="31">
        <f t="shared" si="11"/>
        <v>0</v>
      </c>
      <c r="F35" s="31">
        <f t="shared" si="11"/>
        <v>0</v>
      </c>
      <c r="G35" s="31">
        <f t="shared" si="11"/>
        <v>0</v>
      </c>
      <c r="H35" s="31">
        <f t="shared" si="11"/>
        <v>0</v>
      </c>
      <c r="I35" s="31">
        <f t="shared" si="11"/>
        <v>0</v>
      </c>
      <c r="J35" s="31">
        <f t="shared" si="11"/>
        <v>0</v>
      </c>
      <c r="K35" s="31">
        <f t="shared" si="11"/>
        <v>0</v>
      </c>
      <c r="L35" s="31">
        <f t="shared" si="11"/>
        <v>0</v>
      </c>
      <c r="M35" s="31">
        <f t="shared" si="11"/>
        <v>0</v>
      </c>
      <c r="N35" s="31">
        <f t="shared" si="11"/>
        <v>0</v>
      </c>
    </row>
    <row r="36" spans="2:14" ht="13.5" customHeight="1" x14ac:dyDescent="0.2">
      <c r="B36" s="19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2:14" ht="13.5" customHeight="1" x14ac:dyDescent="0.2">
      <c r="B37" s="19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spans="2:14" ht="13.5" customHeight="1" x14ac:dyDescent="0.2">
      <c r="B38" s="19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2:14" ht="13.5" customHeight="1" x14ac:dyDescent="0.2">
      <c r="B39" s="19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</row>
    <row r="40" spans="2:14" ht="13.5" customHeight="1" x14ac:dyDescent="0.2">
      <c r="B40" s="19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</row>
    <row r="41" spans="2:14" ht="13.5" customHeight="1" x14ac:dyDescent="0.2">
      <c r="B41" s="19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</row>
    <row r="42" spans="2:14" ht="13.5" customHeight="1" x14ac:dyDescent="0.2">
      <c r="B42" s="19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</row>
    <row r="43" spans="2:14" ht="13.5" customHeight="1" x14ac:dyDescent="0.2">
      <c r="B43" s="19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</row>
    <row r="44" spans="2:14" ht="13.5" customHeight="1" x14ac:dyDescent="0.2">
      <c r="B44" s="19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</row>
    <row r="45" spans="2:14" ht="13.5" customHeight="1" x14ac:dyDescent="0.2"/>
    <row r="46" spans="2:14" ht="13.5" customHeight="1" x14ac:dyDescent="0.2"/>
    <row r="47" spans="2:14" ht="13.5" customHeight="1" x14ac:dyDescent="0.2"/>
    <row r="48" spans="2:14" ht="13.5" customHeight="1" x14ac:dyDescent="0.2"/>
    <row r="49" s="51" customFormat="1" ht="13.5" customHeight="1" x14ac:dyDescent="0.2"/>
    <row r="50" s="51" customFormat="1" ht="13.5" customHeight="1" x14ac:dyDescent="0.2"/>
    <row r="51" s="51" customFormat="1" ht="13.5" customHeight="1" x14ac:dyDescent="0.2"/>
    <row r="52" s="51" customFormat="1" ht="13.5" customHeight="1" x14ac:dyDescent="0.2"/>
    <row r="53" s="51" customFormat="1" ht="13.5" customHeight="1" x14ac:dyDescent="0.2"/>
    <row r="54" s="51" customFormat="1" ht="13.5" customHeight="1" x14ac:dyDescent="0.2"/>
    <row r="55" s="51" customFormat="1" ht="13.5" customHeight="1" x14ac:dyDescent="0.2"/>
    <row r="56" s="51" customFormat="1" ht="13.5" customHeight="1" x14ac:dyDescent="0.2"/>
    <row r="57" s="51" customFormat="1" ht="13.5" customHeight="1" x14ac:dyDescent="0.2"/>
    <row r="58" s="51" customFormat="1" ht="13.5" customHeight="1" x14ac:dyDescent="0.2"/>
    <row r="59" s="51" customFormat="1" ht="13.5" customHeight="1" x14ac:dyDescent="0.2"/>
    <row r="60" s="51" customFormat="1" ht="13.5" customHeight="1" x14ac:dyDescent="0.2"/>
    <row r="61" s="51" customFormat="1" ht="13.5" customHeight="1" x14ac:dyDescent="0.2"/>
    <row r="62" s="51" customFormat="1" ht="13.5" customHeight="1" x14ac:dyDescent="0.2"/>
    <row r="63" s="51" customFormat="1" ht="13.5" customHeight="1" x14ac:dyDescent="0.2"/>
    <row r="64" s="51" customFormat="1" ht="13.5" customHeight="1" x14ac:dyDescent="0.2"/>
    <row r="65" s="51" customFormat="1" ht="13.5" customHeight="1" x14ac:dyDescent="0.2"/>
    <row r="66" s="51" customFormat="1" ht="13.5" customHeight="1" x14ac:dyDescent="0.2"/>
    <row r="67" s="51" customFormat="1" ht="13.5" customHeight="1" x14ac:dyDescent="0.2"/>
    <row r="68" s="51" customFormat="1" ht="13.5" customHeight="1" x14ac:dyDescent="0.2"/>
    <row r="69" s="51" customFormat="1" ht="13.5" customHeight="1" x14ac:dyDescent="0.2"/>
    <row r="70" s="51" customFormat="1" ht="13.5" customHeight="1" x14ac:dyDescent="0.2"/>
    <row r="71" s="51" customFormat="1" ht="13.5" customHeight="1" x14ac:dyDescent="0.2"/>
    <row r="72" s="51" customFormat="1" ht="13.5" customHeight="1" x14ac:dyDescent="0.2"/>
    <row r="73" s="51" customFormat="1" ht="13.5" customHeight="1" x14ac:dyDescent="0.2"/>
    <row r="74" s="51" customFormat="1" ht="13.5" customHeight="1" x14ac:dyDescent="0.2"/>
    <row r="75" s="51" customFormat="1" ht="13.5" customHeight="1" x14ac:dyDescent="0.2"/>
    <row r="76" s="51" customFormat="1" ht="13.5" customHeight="1" x14ac:dyDescent="0.2"/>
    <row r="77" s="51" customFormat="1" ht="13.5" customHeight="1" x14ac:dyDescent="0.2"/>
    <row r="78" s="51" customFormat="1" ht="13.5" customHeight="1" x14ac:dyDescent="0.2"/>
    <row r="79" s="51" customFormat="1" ht="13.5" customHeight="1" x14ac:dyDescent="0.2"/>
    <row r="80" s="51" customFormat="1" ht="13.5" customHeight="1" x14ac:dyDescent="0.2"/>
    <row r="81" s="51" customFormat="1" ht="13.5" customHeight="1" x14ac:dyDescent="0.2"/>
    <row r="82" s="51" customFormat="1" ht="13.5" customHeight="1" x14ac:dyDescent="0.2"/>
    <row r="83" s="51" customFormat="1" ht="13.5" customHeight="1" x14ac:dyDescent="0.2"/>
    <row r="84" s="51" customFormat="1" ht="13.5" customHeight="1" x14ac:dyDescent="0.2"/>
    <row r="85" s="51" customFormat="1" ht="13.5" customHeight="1" x14ac:dyDescent="0.2"/>
    <row r="86" s="51" customFormat="1" ht="13.5" customHeight="1" x14ac:dyDescent="0.2"/>
    <row r="87" s="51" customFormat="1" ht="13.5" customHeight="1" x14ac:dyDescent="0.2"/>
    <row r="88" s="51" customFormat="1" ht="13.5" customHeight="1" x14ac:dyDescent="0.2"/>
    <row r="89" s="51" customFormat="1" ht="13.5" customHeight="1" x14ac:dyDescent="0.2"/>
    <row r="90" s="51" customFormat="1" ht="13.5" customHeight="1" x14ac:dyDescent="0.2"/>
    <row r="91" s="51" customFormat="1" ht="13.5" customHeight="1" x14ac:dyDescent="0.2"/>
    <row r="92" s="51" customFormat="1" ht="13.5" customHeight="1" x14ac:dyDescent="0.2"/>
    <row r="93" s="51" customFormat="1" ht="13.5" customHeight="1" x14ac:dyDescent="0.2"/>
    <row r="94" s="51" customFormat="1" ht="13.5" customHeight="1" x14ac:dyDescent="0.2"/>
    <row r="95" s="51" customFormat="1" ht="13.5" customHeight="1" x14ac:dyDescent="0.2"/>
    <row r="96" s="51" customFormat="1" ht="13.5" customHeight="1" x14ac:dyDescent="0.2"/>
    <row r="97" s="51" customFormat="1" ht="13.5" customHeight="1" x14ac:dyDescent="0.2"/>
    <row r="98" s="51" customFormat="1" ht="13.5" customHeight="1" x14ac:dyDescent="0.2"/>
    <row r="99" s="51" customFormat="1" ht="13.5" customHeight="1" x14ac:dyDescent="0.2"/>
    <row r="100" s="51" customFormat="1" ht="13.5" customHeight="1" x14ac:dyDescent="0.2"/>
    <row r="101" s="51" customFormat="1" ht="13.5" customHeight="1" x14ac:dyDescent="0.2"/>
    <row r="102" s="51" customFormat="1" ht="13.5" customHeight="1" x14ac:dyDescent="0.2"/>
    <row r="103" s="51" customFormat="1" ht="13.5" customHeight="1" x14ac:dyDescent="0.2"/>
    <row r="104" s="51" customFormat="1" ht="13.5" customHeight="1" x14ac:dyDescent="0.2"/>
    <row r="105" s="51" customFormat="1" ht="13.5" customHeight="1" x14ac:dyDescent="0.2"/>
    <row r="106" s="51" customFormat="1" ht="13.5" customHeight="1" x14ac:dyDescent="0.2"/>
    <row r="107" s="51" customFormat="1" ht="13.5" customHeight="1" x14ac:dyDescent="0.2"/>
    <row r="108" s="51" customFormat="1" ht="13.5" customHeight="1" x14ac:dyDescent="0.2"/>
    <row r="109" s="51" customFormat="1" ht="13.5" customHeight="1" x14ac:dyDescent="0.2"/>
    <row r="110" s="51" customFormat="1" ht="13.5" customHeight="1" x14ac:dyDescent="0.2"/>
    <row r="111" s="51" customFormat="1" ht="13.5" customHeight="1" x14ac:dyDescent="0.2"/>
    <row r="112" s="51" customFormat="1" ht="13.5" customHeight="1" x14ac:dyDescent="0.2"/>
    <row r="113" s="51" customFormat="1" ht="13.5" customHeight="1" x14ac:dyDescent="0.2"/>
    <row r="114" s="51" customFormat="1" ht="13.5" customHeight="1" x14ac:dyDescent="0.2"/>
    <row r="115" s="51" customFormat="1" ht="13.5" customHeight="1" x14ac:dyDescent="0.2"/>
    <row r="116" s="51" customFormat="1" ht="13.5" customHeight="1" x14ac:dyDescent="0.2"/>
    <row r="117" s="51" customFormat="1" ht="13.5" customHeight="1" x14ac:dyDescent="0.2"/>
    <row r="118" s="51" customFormat="1" ht="13.5" customHeight="1" x14ac:dyDescent="0.2"/>
    <row r="119" s="51" customFormat="1" ht="13.5" customHeight="1" x14ac:dyDescent="0.2"/>
    <row r="120" s="51" customFormat="1" ht="13.5" customHeight="1" x14ac:dyDescent="0.2"/>
    <row r="121" s="51" customFormat="1" ht="13.5" customHeight="1" x14ac:dyDescent="0.2"/>
    <row r="122" s="51" customFormat="1" ht="13.5" customHeight="1" x14ac:dyDescent="0.2"/>
    <row r="123" s="51" customFormat="1" ht="13.5" customHeight="1" x14ac:dyDescent="0.2"/>
    <row r="124" s="51" customFormat="1" ht="13.5" customHeight="1" x14ac:dyDescent="0.2"/>
    <row r="125" s="51" customFormat="1" ht="13.5" customHeight="1" x14ac:dyDescent="0.2"/>
    <row r="126" s="51" customFormat="1" ht="13.5" customHeight="1" x14ac:dyDescent="0.2"/>
    <row r="127" s="51" customFormat="1" ht="13.5" customHeight="1" x14ac:dyDescent="0.2"/>
    <row r="128" s="51" customFormat="1" ht="13.5" customHeight="1" x14ac:dyDescent="0.2"/>
    <row r="129" s="51" customFormat="1" ht="13.5" customHeight="1" x14ac:dyDescent="0.2"/>
    <row r="130" s="51" customFormat="1" ht="13.5" customHeight="1" x14ac:dyDescent="0.2"/>
    <row r="131" s="51" customFormat="1" ht="13.5" customHeight="1" x14ac:dyDescent="0.2"/>
    <row r="132" s="51" customFormat="1" ht="13.5" customHeight="1" x14ac:dyDescent="0.2"/>
    <row r="133" s="51" customFormat="1" ht="13.5" customHeight="1" x14ac:dyDescent="0.2"/>
    <row r="134" s="51" customFormat="1" ht="13.5" customHeight="1" x14ac:dyDescent="0.2"/>
    <row r="135" s="51" customFormat="1" ht="13.5" customHeight="1" x14ac:dyDescent="0.2"/>
    <row r="136" s="51" customFormat="1" ht="13.5" customHeight="1" x14ac:dyDescent="0.2"/>
    <row r="137" s="51" customFormat="1" ht="13.5" customHeight="1" x14ac:dyDescent="0.2"/>
    <row r="138" s="51" customFormat="1" ht="13.5" customHeight="1" x14ac:dyDescent="0.2"/>
    <row r="139" s="51" customFormat="1" ht="13.5" customHeight="1" x14ac:dyDescent="0.2"/>
    <row r="140" s="51" customFormat="1" ht="13.5" customHeight="1" x14ac:dyDescent="0.2"/>
    <row r="141" s="51" customFormat="1" ht="13.5" customHeight="1" x14ac:dyDescent="0.2"/>
    <row r="142" s="51" customFormat="1" ht="13.5" customHeight="1" x14ac:dyDescent="0.2"/>
    <row r="143" s="51" customFormat="1" ht="13.5" customHeight="1" x14ac:dyDescent="0.2"/>
    <row r="144" s="51" customFormat="1" ht="13.5" customHeight="1" x14ac:dyDescent="0.2"/>
    <row r="145" s="51" customFormat="1" ht="13.5" customHeight="1" x14ac:dyDescent="0.2"/>
    <row r="146" s="51" customFormat="1" ht="13.5" customHeight="1" x14ac:dyDescent="0.2"/>
    <row r="147" s="51" customFormat="1" ht="13.5" customHeight="1" x14ac:dyDescent="0.2"/>
    <row r="148" s="51" customFormat="1" ht="13.5" customHeight="1" x14ac:dyDescent="0.2"/>
    <row r="149" s="51" customFormat="1" ht="13.5" customHeight="1" x14ac:dyDescent="0.2"/>
    <row r="150" s="51" customFormat="1" ht="13.5" customHeight="1" x14ac:dyDescent="0.2"/>
    <row r="151" s="51" customFormat="1" ht="13.5" customHeight="1" x14ac:dyDescent="0.2"/>
    <row r="152" s="51" customFormat="1" ht="13.5" customHeight="1" x14ac:dyDescent="0.2"/>
    <row r="153" s="51" customFormat="1" ht="13.5" customHeight="1" x14ac:dyDescent="0.2"/>
    <row r="154" s="51" customFormat="1" ht="13.5" customHeight="1" x14ac:dyDescent="0.2"/>
    <row r="155" s="51" customFormat="1" ht="13.5" customHeight="1" x14ac:dyDescent="0.2"/>
    <row r="156" s="51" customFormat="1" ht="13.5" customHeight="1" x14ac:dyDescent="0.2"/>
    <row r="157" s="51" customFormat="1" ht="13.5" customHeight="1" x14ac:dyDescent="0.2"/>
    <row r="158" s="51" customFormat="1" ht="13.5" customHeight="1" x14ac:dyDescent="0.2"/>
    <row r="159" s="51" customFormat="1" ht="13.5" customHeight="1" x14ac:dyDescent="0.2"/>
    <row r="160" s="51" customFormat="1" ht="13.5" customHeight="1" x14ac:dyDescent="0.2"/>
    <row r="161" s="51" customFormat="1" ht="13.5" customHeight="1" x14ac:dyDescent="0.2"/>
    <row r="162" s="51" customFormat="1" ht="13.5" customHeight="1" x14ac:dyDescent="0.2"/>
    <row r="163" s="51" customFormat="1" ht="13.5" customHeight="1" x14ac:dyDescent="0.2"/>
    <row r="164" s="51" customFormat="1" ht="13.5" customHeight="1" x14ac:dyDescent="0.2"/>
    <row r="165" s="51" customFormat="1" ht="13.5" customHeight="1" x14ac:dyDescent="0.2"/>
    <row r="166" s="51" customFormat="1" ht="13.5" customHeight="1" x14ac:dyDescent="0.2"/>
    <row r="167" s="51" customFormat="1" ht="13.5" customHeight="1" x14ac:dyDescent="0.2"/>
    <row r="168" s="51" customFormat="1" ht="13.5" customHeight="1" x14ac:dyDescent="0.2"/>
    <row r="169" s="51" customFormat="1" ht="13.5" customHeight="1" x14ac:dyDescent="0.2"/>
    <row r="170" s="51" customFormat="1" ht="13.5" customHeight="1" x14ac:dyDescent="0.2"/>
    <row r="171" s="51" customFormat="1" ht="13.5" customHeight="1" x14ac:dyDescent="0.2"/>
    <row r="172" s="51" customFormat="1" ht="13.5" customHeight="1" x14ac:dyDescent="0.2"/>
    <row r="173" s="51" customFormat="1" ht="13.5" customHeight="1" x14ac:dyDescent="0.2"/>
    <row r="174" s="51" customFormat="1" ht="13.5" customHeight="1" x14ac:dyDescent="0.2"/>
    <row r="175" s="51" customFormat="1" ht="13.5" customHeight="1" x14ac:dyDescent="0.2"/>
    <row r="176" s="51" customFormat="1" ht="13.5" customHeight="1" x14ac:dyDescent="0.2"/>
    <row r="177" s="51" customFormat="1" ht="13.5" customHeight="1" x14ac:dyDescent="0.2"/>
    <row r="178" s="51" customFormat="1" ht="13.5" customHeight="1" x14ac:dyDescent="0.2"/>
    <row r="179" s="51" customFormat="1" ht="13.5" customHeight="1" x14ac:dyDescent="0.2"/>
    <row r="180" s="51" customFormat="1" ht="13.5" customHeight="1" x14ac:dyDescent="0.2"/>
    <row r="181" s="51" customFormat="1" ht="13.5" customHeight="1" x14ac:dyDescent="0.2"/>
    <row r="182" s="51" customFormat="1" ht="13.5" customHeight="1" x14ac:dyDescent="0.2"/>
    <row r="183" s="51" customFormat="1" ht="13.5" customHeight="1" x14ac:dyDescent="0.2"/>
    <row r="184" s="51" customFormat="1" ht="13.5" customHeight="1" x14ac:dyDescent="0.2"/>
    <row r="185" s="51" customFormat="1" ht="13.5" customHeight="1" x14ac:dyDescent="0.2"/>
    <row r="186" s="51" customFormat="1" ht="13.5" customHeight="1" x14ac:dyDescent="0.2"/>
    <row r="187" s="51" customFormat="1" ht="13.5" customHeight="1" x14ac:dyDescent="0.2"/>
    <row r="188" s="51" customFormat="1" ht="13.5" customHeight="1" x14ac:dyDescent="0.2"/>
    <row r="189" s="51" customFormat="1" ht="13.5" customHeight="1" x14ac:dyDescent="0.2"/>
    <row r="190" s="51" customFormat="1" ht="13.5" customHeight="1" x14ac:dyDescent="0.2"/>
    <row r="191" s="51" customFormat="1" ht="13.5" customHeight="1" x14ac:dyDescent="0.2"/>
    <row r="192" s="51" customFormat="1" ht="13.5" customHeight="1" x14ac:dyDescent="0.2"/>
    <row r="193" s="51" customFormat="1" ht="13.5" customHeight="1" x14ac:dyDescent="0.2"/>
    <row r="194" s="51" customFormat="1" ht="13.5" customHeight="1" x14ac:dyDescent="0.2"/>
    <row r="195" s="51" customFormat="1" ht="13.5" customHeight="1" x14ac:dyDescent="0.2"/>
    <row r="196" s="51" customFormat="1" ht="13.5" customHeight="1" x14ac:dyDescent="0.2"/>
    <row r="197" s="51" customFormat="1" ht="13.5" customHeight="1" x14ac:dyDescent="0.2"/>
    <row r="198" s="51" customFormat="1" ht="13.5" customHeight="1" x14ac:dyDescent="0.2"/>
    <row r="199" s="51" customFormat="1" ht="13.5" customHeight="1" x14ac:dyDescent="0.2"/>
    <row r="200" s="51" customFormat="1" ht="13.5" customHeight="1" x14ac:dyDescent="0.2"/>
    <row r="201" s="51" customFormat="1" ht="13.5" customHeight="1" x14ac:dyDescent="0.2"/>
    <row r="202" s="51" customFormat="1" ht="13.5" customHeight="1" x14ac:dyDescent="0.2"/>
    <row r="203" s="51" customFormat="1" ht="13.5" customHeight="1" x14ac:dyDescent="0.2"/>
    <row r="204" s="51" customFormat="1" ht="13.5" customHeight="1" x14ac:dyDescent="0.2"/>
    <row r="205" s="51" customFormat="1" ht="13.5" customHeight="1" x14ac:dyDescent="0.2"/>
    <row r="206" s="51" customFormat="1" ht="13.5" customHeight="1" x14ac:dyDescent="0.2"/>
    <row r="207" s="51" customFormat="1" ht="13.5" customHeight="1" x14ac:dyDescent="0.2"/>
    <row r="208" s="51" customFormat="1" ht="13.5" customHeight="1" x14ac:dyDescent="0.2"/>
    <row r="209" s="51" customFormat="1" ht="13.5" customHeight="1" x14ac:dyDescent="0.2"/>
    <row r="210" s="51" customFormat="1" ht="13.5" customHeight="1" x14ac:dyDescent="0.2"/>
    <row r="211" s="51" customFormat="1" ht="13.5" customHeight="1" x14ac:dyDescent="0.2"/>
    <row r="212" s="51" customFormat="1" ht="13.5" customHeight="1" x14ac:dyDescent="0.2"/>
    <row r="213" s="51" customFormat="1" ht="13.5" customHeight="1" x14ac:dyDescent="0.2"/>
    <row r="214" s="51" customFormat="1" ht="13.5" customHeight="1" x14ac:dyDescent="0.2"/>
    <row r="215" s="51" customFormat="1" ht="13.5" customHeight="1" x14ac:dyDescent="0.2"/>
    <row r="216" s="51" customFormat="1" ht="13.5" customHeight="1" x14ac:dyDescent="0.2"/>
    <row r="217" s="51" customFormat="1" ht="13.5" customHeight="1" x14ac:dyDescent="0.2"/>
    <row r="218" s="51" customFormat="1" ht="13.5" customHeight="1" x14ac:dyDescent="0.2"/>
    <row r="219" s="51" customFormat="1" ht="13.5" customHeight="1" x14ac:dyDescent="0.2"/>
    <row r="220" s="51" customFormat="1" ht="13.5" customHeight="1" x14ac:dyDescent="0.2"/>
    <row r="221" s="51" customFormat="1" ht="13.5" customHeight="1" x14ac:dyDescent="0.2"/>
    <row r="222" s="51" customFormat="1" ht="13.5" customHeight="1" x14ac:dyDescent="0.2"/>
    <row r="223" s="51" customFormat="1" ht="13.5" customHeight="1" x14ac:dyDescent="0.2"/>
    <row r="224" s="51" customFormat="1" ht="13.5" customHeight="1" x14ac:dyDescent="0.2"/>
    <row r="225" s="51" customFormat="1" ht="13.5" customHeight="1" x14ac:dyDescent="0.2"/>
    <row r="226" s="51" customFormat="1" ht="13.5" customHeight="1" x14ac:dyDescent="0.2"/>
    <row r="227" s="51" customFormat="1" ht="13.5" customHeight="1" x14ac:dyDescent="0.2"/>
    <row r="228" s="51" customFormat="1" ht="13.5" customHeight="1" x14ac:dyDescent="0.2"/>
    <row r="229" s="51" customFormat="1" ht="13.5" customHeight="1" x14ac:dyDescent="0.2"/>
    <row r="230" s="51" customFormat="1" ht="13.5" customHeight="1" x14ac:dyDescent="0.2"/>
    <row r="231" s="51" customFormat="1" ht="13.5" customHeight="1" x14ac:dyDescent="0.2"/>
    <row r="232" s="51" customFormat="1" ht="13.5" customHeight="1" x14ac:dyDescent="0.2"/>
    <row r="233" s="51" customFormat="1" ht="13.5" customHeight="1" x14ac:dyDescent="0.2"/>
    <row r="234" s="51" customFormat="1" ht="13.5" customHeight="1" x14ac:dyDescent="0.2"/>
    <row r="235" s="51" customFormat="1" ht="13.5" customHeight="1" x14ac:dyDescent="0.2"/>
    <row r="236" s="51" customFormat="1" ht="13.5" customHeight="1" x14ac:dyDescent="0.2"/>
    <row r="237" s="51" customFormat="1" ht="13.5" customHeight="1" x14ac:dyDescent="0.2"/>
    <row r="238" s="51" customFormat="1" ht="13.5" customHeight="1" x14ac:dyDescent="0.2"/>
    <row r="239" s="51" customFormat="1" ht="13.5" customHeight="1" x14ac:dyDescent="0.2"/>
    <row r="240" s="51" customFormat="1" ht="13.5" customHeight="1" x14ac:dyDescent="0.2"/>
    <row r="241" s="51" customFormat="1" ht="13.5" customHeight="1" x14ac:dyDescent="0.2"/>
    <row r="242" s="51" customFormat="1" ht="13.5" customHeight="1" x14ac:dyDescent="0.2"/>
    <row r="243" s="51" customFormat="1" ht="13.5" customHeight="1" x14ac:dyDescent="0.2"/>
    <row r="244" s="51" customFormat="1" ht="13.5" customHeight="1" x14ac:dyDescent="0.2"/>
    <row r="245" s="51" customFormat="1" ht="13.5" customHeight="1" x14ac:dyDescent="0.2"/>
    <row r="246" s="51" customFormat="1" ht="13.5" customHeight="1" x14ac:dyDescent="0.2"/>
    <row r="247" s="51" customFormat="1" ht="13.5" customHeight="1" x14ac:dyDescent="0.2"/>
    <row r="248" s="51" customFormat="1" ht="13.5" customHeight="1" x14ac:dyDescent="0.2"/>
    <row r="249" s="51" customFormat="1" ht="13.5" customHeight="1" x14ac:dyDescent="0.2"/>
    <row r="250" s="51" customFormat="1" ht="13.5" customHeight="1" x14ac:dyDescent="0.2"/>
    <row r="251" s="51" customFormat="1" ht="13.5" customHeight="1" x14ac:dyDescent="0.2"/>
    <row r="252" s="51" customFormat="1" ht="13.5" customHeight="1" x14ac:dyDescent="0.2"/>
    <row r="253" s="51" customFormat="1" ht="13.5" customHeight="1" x14ac:dyDescent="0.2"/>
    <row r="254" s="51" customFormat="1" ht="13.5" customHeight="1" x14ac:dyDescent="0.2"/>
    <row r="255" s="51" customFormat="1" ht="13.5" customHeight="1" x14ac:dyDescent="0.2"/>
    <row r="256" s="51" customFormat="1" ht="13.5" customHeight="1" x14ac:dyDescent="0.2"/>
    <row r="257" s="51" customFormat="1" ht="13.5" customHeight="1" x14ac:dyDescent="0.2"/>
    <row r="258" s="51" customFormat="1" ht="13.5" customHeight="1" x14ac:dyDescent="0.2"/>
    <row r="259" s="51" customFormat="1" ht="13.5" customHeight="1" x14ac:dyDescent="0.2"/>
    <row r="260" s="51" customFormat="1" ht="13.5" customHeight="1" x14ac:dyDescent="0.2"/>
    <row r="261" s="51" customFormat="1" ht="13.5" customHeight="1" x14ac:dyDescent="0.2"/>
    <row r="262" s="51" customFormat="1" ht="13.5" customHeight="1" x14ac:dyDescent="0.2"/>
    <row r="263" s="51" customFormat="1" ht="13.5" customHeight="1" x14ac:dyDescent="0.2"/>
    <row r="264" s="51" customFormat="1" ht="13.5" customHeight="1" x14ac:dyDescent="0.2"/>
    <row r="265" s="51" customFormat="1" ht="13.5" customHeight="1" x14ac:dyDescent="0.2"/>
    <row r="266" s="51" customFormat="1" ht="13.5" customHeight="1" x14ac:dyDescent="0.2"/>
    <row r="267" s="51" customFormat="1" ht="13.5" customHeight="1" x14ac:dyDescent="0.2"/>
    <row r="268" s="51" customFormat="1" ht="13.5" customHeight="1" x14ac:dyDescent="0.2"/>
    <row r="269" s="51" customFormat="1" ht="13.5" customHeight="1" x14ac:dyDescent="0.2"/>
    <row r="270" s="51" customFormat="1" ht="13.5" customHeight="1" x14ac:dyDescent="0.2"/>
    <row r="271" s="51" customFormat="1" ht="13.5" customHeight="1" x14ac:dyDescent="0.2"/>
    <row r="272" s="51" customFormat="1" ht="13.5" customHeight="1" x14ac:dyDescent="0.2"/>
    <row r="273" s="51" customFormat="1" ht="13.5" customHeight="1" x14ac:dyDescent="0.2"/>
    <row r="274" s="51" customFormat="1" ht="13.5" customHeight="1" x14ac:dyDescent="0.2"/>
    <row r="275" s="51" customFormat="1" ht="13.5" customHeight="1" x14ac:dyDescent="0.2"/>
    <row r="276" s="51" customFormat="1" ht="13.5" customHeight="1" x14ac:dyDescent="0.2"/>
    <row r="277" s="51" customFormat="1" ht="13.5" customHeight="1" x14ac:dyDescent="0.2"/>
    <row r="278" s="51" customFormat="1" ht="13.5" customHeight="1" x14ac:dyDescent="0.2"/>
    <row r="279" s="51" customFormat="1" ht="13.5" customHeight="1" x14ac:dyDescent="0.2"/>
    <row r="280" s="51" customFormat="1" ht="13.5" customHeight="1" x14ac:dyDescent="0.2"/>
    <row r="281" s="51" customFormat="1" ht="13.5" customHeight="1" x14ac:dyDescent="0.2"/>
    <row r="282" s="51" customFormat="1" ht="13.5" customHeight="1" x14ac:dyDescent="0.2"/>
    <row r="283" s="51" customFormat="1" ht="13.5" customHeight="1" x14ac:dyDescent="0.2"/>
    <row r="284" s="51" customFormat="1" ht="13.5" customHeight="1" x14ac:dyDescent="0.2"/>
    <row r="285" s="51" customFormat="1" ht="13.5" customHeight="1" x14ac:dyDescent="0.2"/>
    <row r="286" s="51" customFormat="1" ht="13.5" customHeight="1" x14ac:dyDescent="0.2"/>
    <row r="287" s="51" customFormat="1" ht="13.5" customHeight="1" x14ac:dyDescent="0.2"/>
    <row r="288" s="51" customFormat="1" ht="13.5" customHeight="1" x14ac:dyDescent="0.2"/>
    <row r="289" s="51" customFormat="1" ht="13.5" customHeight="1" x14ac:dyDescent="0.2"/>
    <row r="290" s="51" customFormat="1" ht="13.5" customHeight="1" x14ac:dyDescent="0.2"/>
    <row r="291" s="51" customFormat="1" ht="13.5" customHeight="1" x14ac:dyDescent="0.2"/>
    <row r="292" s="51" customFormat="1" ht="13.5" customHeight="1" x14ac:dyDescent="0.2"/>
    <row r="293" s="51" customFormat="1" ht="13.5" customHeight="1" x14ac:dyDescent="0.2"/>
    <row r="294" s="51" customFormat="1" ht="13.5" customHeight="1" x14ac:dyDescent="0.2"/>
    <row r="295" s="51" customFormat="1" ht="13.5" customHeight="1" x14ac:dyDescent="0.2"/>
    <row r="296" s="51" customFormat="1" ht="13.5" customHeight="1" x14ac:dyDescent="0.2"/>
    <row r="297" s="51" customFormat="1" ht="13.5" customHeight="1" x14ac:dyDescent="0.2"/>
    <row r="298" s="51" customFormat="1" ht="13.5" customHeight="1" x14ac:dyDescent="0.2"/>
    <row r="299" s="51" customFormat="1" ht="13.5" customHeight="1" x14ac:dyDescent="0.2"/>
    <row r="300" s="51" customFormat="1" ht="13.5" customHeight="1" x14ac:dyDescent="0.2"/>
    <row r="301" s="51" customFormat="1" ht="13.5" customHeight="1" x14ac:dyDescent="0.2"/>
    <row r="302" s="51" customFormat="1" ht="13.5" customHeight="1" x14ac:dyDescent="0.2"/>
    <row r="303" s="51" customFormat="1" ht="13.5" customHeight="1" x14ac:dyDescent="0.2"/>
    <row r="304" s="51" customFormat="1" ht="13.5" customHeight="1" x14ac:dyDescent="0.2"/>
    <row r="305" s="51" customFormat="1" ht="13.5" customHeight="1" x14ac:dyDescent="0.2"/>
    <row r="306" s="51" customFormat="1" ht="13.5" customHeight="1" x14ac:dyDescent="0.2"/>
    <row r="307" s="51" customFormat="1" ht="13.5" customHeight="1" x14ac:dyDescent="0.2"/>
    <row r="308" s="51" customFormat="1" ht="13.5" customHeight="1" x14ac:dyDescent="0.2"/>
    <row r="309" s="51" customFormat="1" ht="13.5" customHeight="1" x14ac:dyDescent="0.2"/>
    <row r="310" s="51" customFormat="1" ht="13.5" customHeight="1" x14ac:dyDescent="0.2"/>
    <row r="311" s="51" customFormat="1" ht="13.5" customHeight="1" x14ac:dyDescent="0.2"/>
    <row r="312" s="51" customFormat="1" ht="13.5" customHeight="1" x14ac:dyDescent="0.2"/>
    <row r="313" s="51" customFormat="1" ht="13.5" customHeight="1" x14ac:dyDescent="0.2"/>
    <row r="314" s="51" customFormat="1" ht="13.5" customHeight="1" x14ac:dyDescent="0.2"/>
    <row r="315" s="51" customFormat="1" ht="13.5" customHeight="1" x14ac:dyDescent="0.2"/>
    <row r="316" s="51" customFormat="1" ht="13.5" customHeight="1" x14ac:dyDescent="0.2"/>
    <row r="317" s="51" customFormat="1" ht="13.5" customHeight="1" x14ac:dyDescent="0.2"/>
    <row r="318" s="51" customFormat="1" ht="13.5" customHeight="1" x14ac:dyDescent="0.2"/>
    <row r="319" s="51" customFormat="1" ht="13.5" customHeight="1" x14ac:dyDescent="0.2"/>
    <row r="320" s="51" customFormat="1" ht="13.5" customHeight="1" x14ac:dyDescent="0.2"/>
    <row r="321" s="51" customFormat="1" ht="13.5" customHeight="1" x14ac:dyDescent="0.2"/>
    <row r="322" s="51" customFormat="1" ht="13.5" customHeight="1" x14ac:dyDescent="0.2"/>
    <row r="323" s="51" customFormat="1" ht="13.5" customHeight="1" x14ac:dyDescent="0.2"/>
    <row r="324" s="51" customFormat="1" ht="13.5" customHeight="1" x14ac:dyDescent="0.2"/>
    <row r="325" s="51" customFormat="1" ht="13.5" customHeight="1" x14ac:dyDescent="0.2"/>
    <row r="326" s="51" customFormat="1" ht="13.5" customHeight="1" x14ac:dyDescent="0.2"/>
    <row r="327" s="51" customFormat="1" ht="13.5" customHeight="1" x14ac:dyDescent="0.2"/>
    <row r="328" s="51" customFormat="1" ht="13.5" customHeight="1" x14ac:dyDescent="0.2"/>
    <row r="329" s="51" customFormat="1" ht="13.5" customHeight="1" x14ac:dyDescent="0.2"/>
    <row r="330" s="51" customFormat="1" ht="13.5" customHeight="1" x14ac:dyDescent="0.2"/>
    <row r="331" s="51" customFormat="1" ht="13.5" customHeight="1" x14ac:dyDescent="0.2"/>
    <row r="332" s="51" customFormat="1" ht="13.5" customHeight="1" x14ac:dyDescent="0.2"/>
    <row r="333" s="51" customFormat="1" ht="13.5" customHeight="1" x14ac:dyDescent="0.2"/>
    <row r="334" s="51" customFormat="1" ht="13.5" customHeight="1" x14ac:dyDescent="0.2"/>
    <row r="335" s="51" customFormat="1" ht="13.5" customHeight="1" x14ac:dyDescent="0.2"/>
    <row r="336" s="51" customFormat="1" ht="13.5" customHeight="1" x14ac:dyDescent="0.2"/>
    <row r="337" s="51" customFormat="1" ht="13.5" customHeight="1" x14ac:dyDescent="0.2"/>
    <row r="338" s="51" customFormat="1" ht="13.5" customHeight="1" x14ac:dyDescent="0.2"/>
    <row r="339" s="51" customFormat="1" ht="13.5" customHeight="1" x14ac:dyDescent="0.2"/>
    <row r="340" s="51" customFormat="1" ht="13.5" customHeight="1" x14ac:dyDescent="0.2"/>
    <row r="341" s="51" customFormat="1" ht="13.5" customHeight="1" x14ac:dyDescent="0.2"/>
    <row r="342" s="51" customFormat="1" ht="13.5" customHeight="1" x14ac:dyDescent="0.2"/>
    <row r="343" s="51" customFormat="1" ht="13.5" customHeight="1" x14ac:dyDescent="0.2"/>
    <row r="344" s="51" customFormat="1" ht="13.5" customHeight="1" x14ac:dyDescent="0.2"/>
    <row r="345" s="51" customFormat="1" ht="13.5" customHeight="1" x14ac:dyDescent="0.2"/>
    <row r="346" s="51" customFormat="1" ht="13.5" customHeight="1" x14ac:dyDescent="0.2"/>
    <row r="347" s="51" customFormat="1" ht="13.5" customHeight="1" x14ac:dyDescent="0.2"/>
    <row r="348" s="51" customFormat="1" ht="13.5" customHeight="1" x14ac:dyDescent="0.2"/>
    <row r="349" s="51" customFormat="1" ht="13.5" customHeight="1" x14ac:dyDescent="0.2"/>
    <row r="350" s="51" customFormat="1" ht="13.5" customHeight="1" x14ac:dyDescent="0.2"/>
    <row r="351" s="51" customFormat="1" ht="13.5" customHeight="1" x14ac:dyDescent="0.2"/>
    <row r="352" s="51" customFormat="1" ht="13.5" customHeight="1" x14ac:dyDescent="0.2"/>
    <row r="353" s="51" customFormat="1" ht="13.5" customHeight="1" x14ac:dyDescent="0.2"/>
    <row r="354" s="51" customFormat="1" ht="13.5" customHeight="1" x14ac:dyDescent="0.2"/>
    <row r="355" s="51" customFormat="1" ht="13.5" customHeight="1" x14ac:dyDescent="0.2"/>
    <row r="356" s="51" customFormat="1" ht="13.5" customHeight="1" x14ac:dyDescent="0.2"/>
    <row r="357" s="51" customFormat="1" ht="13.5" customHeight="1" x14ac:dyDescent="0.2"/>
    <row r="358" s="51" customFormat="1" ht="13.5" customHeight="1" x14ac:dyDescent="0.2"/>
    <row r="359" s="51" customFormat="1" ht="13.5" customHeight="1" x14ac:dyDescent="0.2"/>
    <row r="360" s="51" customFormat="1" ht="13.5" customHeight="1" x14ac:dyDescent="0.2"/>
    <row r="361" s="51" customFormat="1" ht="13.5" customHeight="1" x14ac:dyDescent="0.2"/>
    <row r="362" s="51" customFormat="1" ht="13.5" customHeight="1" x14ac:dyDescent="0.2"/>
    <row r="363" s="51" customFormat="1" ht="13.5" customHeight="1" x14ac:dyDescent="0.2"/>
    <row r="364" s="51" customFormat="1" ht="13.5" customHeight="1" x14ac:dyDescent="0.2"/>
    <row r="365" s="51" customFormat="1" ht="13.5" customHeight="1" x14ac:dyDescent="0.2"/>
    <row r="366" s="51" customFormat="1" ht="13.5" customHeight="1" x14ac:dyDescent="0.2"/>
    <row r="367" s="51" customFormat="1" ht="13.5" customHeight="1" x14ac:dyDescent="0.2"/>
    <row r="368" s="51" customFormat="1" ht="13.5" customHeight="1" x14ac:dyDescent="0.2"/>
    <row r="369" s="51" customFormat="1" ht="13.5" customHeight="1" x14ac:dyDescent="0.2"/>
    <row r="370" s="51" customFormat="1" ht="13.5" customHeight="1" x14ac:dyDescent="0.2"/>
    <row r="371" s="51" customFormat="1" ht="13.5" customHeight="1" x14ac:dyDescent="0.2"/>
    <row r="372" s="51" customFormat="1" ht="13.5" customHeight="1" x14ac:dyDescent="0.2"/>
    <row r="373" s="51" customFormat="1" ht="13.5" customHeight="1" x14ac:dyDescent="0.2"/>
    <row r="374" s="51" customFormat="1" ht="13.5" customHeight="1" x14ac:dyDescent="0.2"/>
    <row r="375" s="51" customFormat="1" ht="13.5" customHeight="1" x14ac:dyDescent="0.2"/>
    <row r="376" s="51" customFormat="1" ht="13.5" customHeight="1" x14ac:dyDescent="0.2"/>
    <row r="377" s="51" customFormat="1" ht="13.5" customHeight="1" x14ac:dyDescent="0.2"/>
    <row r="378" s="51" customFormat="1" ht="13.5" customHeight="1" x14ac:dyDescent="0.2"/>
    <row r="379" s="51" customFormat="1" ht="13.5" customHeight="1" x14ac:dyDescent="0.2"/>
    <row r="380" s="51" customFormat="1" ht="13.5" customHeight="1" x14ac:dyDescent="0.2"/>
    <row r="381" s="51" customFormat="1" ht="13.5" customHeight="1" x14ac:dyDescent="0.2"/>
    <row r="382" s="51" customFormat="1" ht="13.5" customHeight="1" x14ac:dyDescent="0.2"/>
    <row r="383" s="51" customFormat="1" ht="13.5" customHeight="1" x14ac:dyDescent="0.2"/>
    <row r="384" s="51" customFormat="1" ht="13.5" customHeight="1" x14ac:dyDescent="0.2"/>
    <row r="385" s="51" customFormat="1" ht="13.5" customHeight="1" x14ac:dyDescent="0.2"/>
    <row r="386" s="51" customFormat="1" ht="13.5" customHeight="1" x14ac:dyDescent="0.2"/>
    <row r="387" s="51" customFormat="1" ht="13.5" customHeight="1" x14ac:dyDescent="0.2"/>
    <row r="388" s="51" customFormat="1" ht="13.5" customHeight="1" x14ac:dyDescent="0.2"/>
    <row r="389" s="51" customFormat="1" ht="13.5" customHeight="1" x14ac:dyDescent="0.2"/>
    <row r="390" s="51" customFormat="1" ht="13.5" customHeight="1" x14ac:dyDescent="0.2"/>
    <row r="391" s="51" customFormat="1" ht="13.5" customHeight="1" x14ac:dyDescent="0.2"/>
    <row r="392" s="51" customFormat="1" ht="13.5" customHeight="1" x14ac:dyDescent="0.2"/>
    <row r="393" s="51" customFormat="1" ht="13.5" customHeight="1" x14ac:dyDescent="0.2"/>
    <row r="394" s="51" customFormat="1" ht="13.5" customHeight="1" x14ac:dyDescent="0.2"/>
    <row r="395" s="51" customFormat="1" ht="13.5" customHeight="1" x14ac:dyDescent="0.2"/>
    <row r="396" s="51" customFormat="1" ht="13.5" customHeight="1" x14ac:dyDescent="0.2"/>
    <row r="397" s="51" customFormat="1" ht="13.5" customHeight="1" x14ac:dyDescent="0.2"/>
    <row r="398" s="51" customFormat="1" ht="13.5" customHeight="1" x14ac:dyDescent="0.2"/>
    <row r="399" s="51" customFormat="1" ht="13.5" customHeight="1" x14ac:dyDescent="0.2"/>
    <row r="400" s="51" customFormat="1" ht="13.5" customHeight="1" x14ac:dyDescent="0.2"/>
    <row r="401" s="51" customFormat="1" ht="13.5" customHeight="1" x14ac:dyDescent="0.2"/>
    <row r="402" s="51" customFormat="1" ht="13.5" customHeight="1" x14ac:dyDescent="0.2"/>
    <row r="403" s="51" customFormat="1" ht="13.5" customHeight="1" x14ac:dyDescent="0.2"/>
    <row r="404" s="51" customFormat="1" ht="13.5" customHeight="1" x14ac:dyDescent="0.2"/>
    <row r="405" s="51" customFormat="1" ht="13.5" customHeight="1" x14ac:dyDescent="0.2"/>
    <row r="406" s="51" customFormat="1" ht="13.5" customHeight="1" x14ac:dyDescent="0.2"/>
    <row r="407" s="51" customFormat="1" ht="13.5" customHeight="1" x14ac:dyDescent="0.2"/>
    <row r="408" s="51" customFormat="1" ht="13.5" customHeight="1" x14ac:dyDescent="0.2"/>
    <row r="409" s="51" customFormat="1" ht="13.5" customHeight="1" x14ac:dyDescent="0.2"/>
    <row r="410" s="51" customFormat="1" ht="13.5" customHeight="1" x14ac:dyDescent="0.2"/>
    <row r="411" s="51" customFormat="1" ht="13.5" customHeight="1" x14ac:dyDescent="0.2"/>
    <row r="412" s="51" customFormat="1" ht="13.5" customHeight="1" x14ac:dyDescent="0.2"/>
    <row r="413" s="51" customFormat="1" ht="13.5" customHeight="1" x14ac:dyDescent="0.2"/>
    <row r="414" s="51" customFormat="1" ht="13.5" customHeight="1" x14ac:dyDescent="0.2"/>
    <row r="415" s="51" customFormat="1" ht="13.5" customHeight="1" x14ac:dyDescent="0.2"/>
    <row r="416" s="51" customFormat="1" ht="13.5" customHeight="1" x14ac:dyDescent="0.2"/>
    <row r="417" s="51" customFormat="1" ht="13.5" customHeight="1" x14ac:dyDescent="0.2"/>
    <row r="418" s="51" customFormat="1" ht="13.5" customHeight="1" x14ac:dyDescent="0.2"/>
    <row r="419" s="51" customFormat="1" ht="13.5" customHeight="1" x14ac:dyDescent="0.2"/>
    <row r="420" s="51" customFormat="1" ht="13.5" customHeight="1" x14ac:dyDescent="0.2"/>
    <row r="421" s="51" customFormat="1" ht="13.5" customHeight="1" x14ac:dyDescent="0.2"/>
    <row r="422" s="51" customFormat="1" ht="13.5" customHeight="1" x14ac:dyDescent="0.2"/>
    <row r="423" s="51" customFormat="1" ht="13.5" customHeight="1" x14ac:dyDescent="0.2"/>
    <row r="424" s="51" customFormat="1" ht="13.5" customHeight="1" x14ac:dyDescent="0.2"/>
    <row r="425" s="51" customFormat="1" ht="13.5" customHeight="1" x14ac:dyDescent="0.2"/>
    <row r="426" s="51" customFormat="1" ht="13.5" customHeight="1" x14ac:dyDescent="0.2"/>
    <row r="427" s="51" customFormat="1" ht="13.5" customHeight="1" x14ac:dyDescent="0.2"/>
    <row r="428" s="51" customFormat="1" ht="13.5" customHeight="1" x14ac:dyDescent="0.2"/>
    <row r="429" s="51" customFormat="1" ht="13.5" customHeight="1" x14ac:dyDescent="0.2"/>
    <row r="430" s="51" customFormat="1" ht="13.5" customHeight="1" x14ac:dyDescent="0.2"/>
    <row r="431" s="51" customFormat="1" ht="13.5" customHeight="1" x14ac:dyDescent="0.2"/>
    <row r="432" s="51" customFormat="1" ht="13.5" customHeight="1" x14ac:dyDescent="0.2"/>
    <row r="433" s="51" customFormat="1" ht="13.5" customHeight="1" x14ac:dyDescent="0.2"/>
    <row r="434" s="51" customFormat="1" ht="13.5" customHeight="1" x14ac:dyDescent="0.2"/>
    <row r="435" s="51" customFormat="1" ht="13.5" customHeight="1" x14ac:dyDescent="0.2"/>
    <row r="436" s="51" customFormat="1" ht="13.5" customHeight="1" x14ac:dyDescent="0.2"/>
    <row r="437" s="51" customFormat="1" ht="13.5" customHeight="1" x14ac:dyDescent="0.2"/>
    <row r="438" s="51" customFormat="1" ht="13.5" customHeight="1" x14ac:dyDescent="0.2"/>
    <row r="439" s="51" customFormat="1" ht="13.5" customHeight="1" x14ac:dyDescent="0.2"/>
    <row r="440" s="51" customFormat="1" ht="13.5" customHeight="1" x14ac:dyDescent="0.2"/>
    <row r="441" s="51" customFormat="1" ht="13.5" customHeight="1" x14ac:dyDescent="0.2"/>
    <row r="442" s="51" customFormat="1" ht="13.5" customHeight="1" x14ac:dyDescent="0.2"/>
    <row r="443" s="51" customFormat="1" ht="13.5" customHeight="1" x14ac:dyDescent="0.2"/>
    <row r="444" s="51" customFormat="1" ht="13.5" customHeight="1" x14ac:dyDescent="0.2"/>
    <row r="445" s="51" customFormat="1" ht="13.5" customHeight="1" x14ac:dyDescent="0.2"/>
    <row r="446" s="51" customFormat="1" ht="13.5" customHeight="1" x14ac:dyDescent="0.2"/>
    <row r="447" s="51" customFormat="1" ht="13.5" customHeight="1" x14ac:dyDescent="0.2"/>
    <row r="448" s="51" customFormat="1" ht="13.5" customHeight="1" x14ac:dyDescent="0.2"/>
    <row r="449" s="51" customFormat="1" ht="13.5" customHeight="1" x14ac:dyDescent="0.2"/>
    <row r="450" s="51" customFormat="1" ht="13.5" customHeight="1" x14ac:dyDescent="0.2"/>
    <row r="451" s="51" customFormat="1" ht="13.5" customHeight="1" x14ac:dyDescent="0.2"/>
    <row r="452" s="51" customFormat="1" ht="13.5" customHeight="1" x14ac:dyDescent="0.2"/>
    <row r="453" s="51" customFormat="1" ht="13.5" customHeight="1" x14ac:dyDescent="0.2"/>
    <row r="454" s="51" customFormat="1" ht="13.5" customHeight="1" x14ac:dyDescent="0.2"/>
    <row r="455" s="51" customFormat="1" ht="13.5" customHeight="1" x14ac:dyDescent="0.2"/>
    <row r="456" s="51" customFormat="1" ht="13.5" customHeight="1" x14ac:dyDescent="0.2"/>
    <row r="457" s="51" customFormat="1" ht="13.5" customHeight="1" x14ac:dyDescent="0.2"/>
    <row r="458" s="51" customFormat="1" ht="13.5" customHeight="1" x14ac:dyDescent="0.2"/>
    <row r="459" s="51" customFormat="1" ht="13.5" customHeight="1" x14ac:dyDescent="0.2"/>
    <row r="460" s="51" customFormat="1" ht="13.5" customHeight="1" x14ac:dyDescent="0.2"/>
    <row r="461" s="51" customFormat="1" ht="13.5" customHeight="1" x14ac:dyDescent="0.2"/>
    <row r="462" s="51" customFormat="1" ht="13.5" customHeight="1" x14ac:dyDescent="0.2"/>
    <row r="463" s="51" customFormat="1" ht="13.5" customHeight="1" x14ac:dyDescent="0.2"/>
    <row r="464" s="51" customFormat="1" ht="13.5" customHeight="1" x14ac:dyDescent="0.2"/>
    <row r="465" s="51" customFormat="1" ht="13.5" customHeight="1" x14ac:dyDescent="0.2"/>
    <row r="466" s="51" customFormat="1" ht="13.5" customHeight="1" x14ac:dyDescent="0.2"/>
    <row r="467" s="51" customFormat="1" ht="13.5" customHeight="1" x14ac:dyDescent="0.2"/>
    <row r="468" s="51" customFormat="1" ht="13.5" customHeight="1" x14ac:dyDescent="0.2"/>
    <row r="469" s="51" customFormat="1" ht="13.5" customHeight="1" x14ac:dyDescent="0.2"/>
    <row r="470" s="51" customFormat="1" ht="13.5" customHeight="1" x14ac:dyDescent="0.2"/>
    <row r="471" s="51" customFormat="1" ht="13.5" customHeight="1" x14ac:dyDescent="0.2"/>
    <row r="472" s="51" customFormat="1" ht="13.5" customHeight="1" x14ac:dyDescent="0.2"/>
    <row r="473" s="51" customFormat="1" ht="13.5" customHeight="1" x14ac:dyDescent="0.2"/>
    <row r="474" s="51" customFormat="1" ht="13.5" customHeight="1" x14ac:dyDescent="0.2"/>
    <row r="475" s="51" customFormat="1" ht="13.5" customHeight="1" x14ac:dyDescent="0.2"/>
    <row r="476" s="51" customFormat="1" ht="13.5" customHeight="1" x14ac:dyDescent="0.2"/>
    <row r="477" s="51" customFormat="1" ht="13.5" customHeight="1" x14ac:dyDescent="0.2"/>
    <row r="478" s="51" customFormat="1" ht="13.5" customHeight="1" x14ac:dyDescent="0.2"/>
    <row r="479" s="51" customFormat="1" ht="13.5" customHeight="1" x14ac:dyDescent="0.2"/>
    <row r="480" s="51" customFormat="1" ht="13.5" customHeight="1" x14ac:dyDescent="0.2"/>
    <row r="481" s="51" customFormat="1" ht="13.5" customHeight="1" x14ac:dyDescent="0.2"/>
    <row r="482" s="51" customFormat="1" ht="13.5" customHeight="1" x14ac:dyDescent="0.2"/>
    <row r="483" s="51" customFormat="1" ht="13.5" customHeight="1" x14ac:dyDescent="0.2"/>
    <row r="484" s="51" customFormat="1" ht="13.5" customHeight="1" x14ac:dyDescent="0.2"/>
    <row r="485" s="51" customFormat="1" ht="13.5" customHeight="1" x14ac:dyDescent="0.2"/>
    <row r="486" s="51" customFormat="1" ht="13.5" customHeight="1" x14ac:dyDescent="0.2"/>
    <row r="487" s="51" customFormat="1" ht="13.5" customHeight="1" x14ac:dyDescent="0.2"/>
    <row r="488" s="51" customFormat="1" ht="13.5" customHeight="1" x14ac:dyDescent="0.2"/>
    <row r="489" s="51" customFormat="1" ht="13.5" customHeight="1" x14ac:dyDescent="0.2"/>
    <row r="490" s="51" customFormat="1" ht="13.5" customHeight="1" x14ac:dyDescent="0.2"/>
    <row r="491" s="51" customFormat="1" ht="13.5" customHeight="1" x14ac:dyDescent="0.2"/>
    <row r="492" s="51" customFormat="1" ht="13.5" customHeight="1" x14ac:dyDescent="0.2"/>
    <row r="493" s="51" customFormat="1" ht="13.5" customHeight="1" x14ac:dyDescent="0.2"/>
    <row r="494" s="51" customFormat="1" ht="13.5" customHeight="1" x14ac:dyDescent="0.2"/>
    <row r="495" s="51" customFormat="1" ht="13.5" customHeight="1" x14ac:dyDescent="0.2"/>
    <row r="496" s="51" customFormat="1" ht="13.5" customHeight="1" x14ac:dyDescent="0.2"/>
    <row r="497" s="51" customFormat="1" ht="13.5" customHeight="1" x14ac:dyDescent="0.2"/>
    <row r="498" s="51" customFormat="1" ht="13.5" customHeight="1" x14ac:dyDescent="0.2"/>
    <row r="499" s="51" customFormat="1" ht="13.5" customHeight="1" x14ac:dyDescent="0.2"/>
    <row r="500" s="51" customFormat="1" ht="13.5" customHeight="1" x14ac:dyDescent="0.2"/>
    <row r="501" s="51" customFormat="1" ht="13.5" customHeight="1" x14ac:dyDescent="0.2"/>
    <row r="502" s="51" customFormat="1" ht="13.5" customHeight="1" x14ac:dyDescent="0.2"/>
    <row r="503" s="51" customFormat="1" ht="13.5" customHeight="1" x14ac:dyDescent="0.2"/>
    <row r="504" s="51" customFormat="1" ht="13.5" customHeight="1" x14ac:dyDescent="0.2"/>
    <row r="505" s="51" customFormat="1" ht="13.5" customHeight="1" x14ac:dyDescent="0.2"/>
    <row r="506" s="51" customFormat="1" ht="13.5" customHeight="1" x14ac:dyDescent="0.2"/>
    <row r="507" s="51" customFormat="1" ht="13.5" customHeight="1" x14ac:dyDescent="0.2"/>
    <row r="508" s="51" customFormat="1" ht="13.5" customHeight="1" x14ac:dyDescent="0.2"/>
    <row r="509" s="51" customFormat="1" ht="13.5" customHeight="1" x14ac:dyDescent="0.2"/>
    <row r="510" s="51" customFormat="1" ht="13.5" customHeight="1" x14ac:dyDescent="0.2"/>
    <row r="511" s="51" customFormat="1" ht="13.5" customHeight="1" x14ac:dyDescent="0.2"/>
    <row r="512" s="51" customFormat="1" ht="13.5" customHeight="1" x14ac:dyDescent="0.2"/>
    <row r="513" s="51" customFormat="1" ht="13.5" customHeight="1" x14ac:dyDescent="0.2"/>
    <row r="514" s="51" customFormat="1" ht="13.5" customHeight="1" x14ac:dyDescent="0.2"/>
    <row r="515" s="51" customFormat="1" ht="13.5" customHeight="1" x14ac:dyDescent="0.2"/>
    <row r="516" s="51" customFormat="1" ht="13.5" customHeight="1" x14ac:dyDescent="0.2"/>
    <row r="517" s="51" customFormat="1" ht="13.5" customHeight="1" x14ac:dyDescent="0.2"/>
    <row r="518" s="51" customFormat="1" ht="13.5" customHeight="1" x14ac:dyDescent="0.2"/>
    <row r="519" s="51" customFormat="1" ht="13.5" customHeight="1" x14ac:dyDescent="0.2"/>
    <row r="520" s="51" customFormat="1" ht="13.5" customHeight="1" x14ac:dyDescent="0.2"/>
    <row r="521" s="51" customFormat="1" ht="13.5" customHeight="1" x14ac:dyDescent="0.2"/>
    <row r="522" s="51" customFormat="1" ht="13.5" customHeight="1" x14ac:dyDescent="0.2"/>
    <row r="523" s="51" customFormat="1" ht="13.5" customHeight="1" x14ac:dyDescent="0.2"/>
    <row r="524" s="51" customFormat="1" ht="13.5" customHeight="1" x14ac:dyDescent="0.2"/>
    <row r="525" s="51" customFormat="1" ht="13.5" customHeight="1" x14ac:dyDescent="0.2"/>
    <row r="526" s="51" customFormat="1" ht="13.5" customHeight="1" x14ac:dyDescent="0.2"/>
    <row r="527" s="51" customFormat="1" ht="13.5" customHeight="1" x14ac:dyDescent="0.2"/>
    <row r="528" s="51" customFormat="1" ht="13.5" customHeight="1" x14ac:dyDescent="0.2"/>
    <row r="529" s="51" customFormat="1" ht="13.5" customHeight="1" x14ac:dyDescent="0.2"/>
    <row r="530" s="51" customFormat="1" ht="13.5" customHeight="1" x14ac:dyDescent="0.2"/>
    <row r="531" s="51" customFormat="1" ht="13.5" customHeight="1" x14ac:dyDescent="0.2"/>
    <row r="532" s="51" customFormat="1" ht="13.5" customHeight="1" x14ac:dyDescent="0.2"/>
    <row r="533" s="51" customFormat="1" ht="13.5" customHeight="1" x14ac:dyDescent="0.2"/>
    <row r="534" s="51" customFormat="1" ht="13.5" customHeight="1" x14ac:dyDescent="0.2"/>
    <row r="535" s="51" customFormat="1" ht="13.5" customHeight="1" x14ac:dyDescent="0.2"/>
    <row r="536" s="51" customFormat="1" ht="13.5" customHeight="1" x14ac:dyDescent="0.2"/>
    <row r="537" s="51" customFormat="1" ht="13.5" customHeight="1" x14ac:dyDescent="0.2"/>
    <row r="538" s="51" customFormat="1" ht="13.5" customHeight="1" x14ac:dyDescent="0.2"/>
    <row r="539" s="51" customFormat="1" ht="13.5" customHeight="1" x14ac:dyDescent="0.2"/>
    <row r="540" s="51" customFormat="1" ht="13.5" customHeight="1" x14ac:dyDescent="0.2"/>
    <row r="541" s="51" customFormat="1" ht="13.5" customHeight="1" x14ac:dyDescent="0.2"/>
    <row r="542" s="51" customFormat="1" ht="13.5" customHeight="1" x14ac:dyDescent="0.2"/>
    <row r="543" s="51" customFormat="1" ht="13.5" customHeight="1" x14ac:dyDescent="0.2"/>
    <row r="544" s="51" customFormat="1" ht="13.5" customHeight="1" x14ac:dyDescent="0.2"/>
    <row r="545" s="51" customFormat="1" ht="13.5" customHeight="1" x14ac:dyDescent="0.2"/>
    <row r="546" s="51" customFormat="1" ht="13.5" customHeight="1" x14ac:dyDescent="0.2"/>
    <row r="547" s="51" customFormat="1" ht="13.5" customHeight="1" x14ac:dyDescent="0.2"/>
    <row r="548" s="51" customFormat="1" ht="13.5" customHeight="1" x14ac:dyDescent="0.2"/>
    <row r="549" s="51" customFormat="1" ht="13.5" customHeight="1" x14ac:dyDescent="0.2"/>
    <row r="550" s="51" customFormat="1" ht="13.5" customHeight="1" x14ac:dyDescent="0.2"/>
    <row r="551" s="51" customFormat="1" ht="13.5" customHeight="1" x14ac:dyDescent="0.2"/>
    <row r="552" s="51" customFormat="1" ht="13.5" customHeight="1" x14ac:dyDescent="0.2"/>
    <row r="553" s="51" customFormat="1" ht="13.5" customHeight="1" x14ac:dyDescent="0.2"/>
    <row r="554" s="51" customFormat="1" ht="13.5" customHeight="1" x14ac:dyDescent="0.2"/>
    <row r="555" s="51" customFormat="1" ht="13.5" customHeight="1" x14ac:dyDescent="0.2"/>
    <row r="556" s="51" customFormat="1" ht="13.5" customHeight="1" x14ac:dyDescent="0.2"/>
    <row r="557" s="51" customFormat="1" ht="13.5" customHeight="1" x14ac:dyDescent="0.2"/>
    <row r="558" s="51" customFormat="1" ht="13.5" customHeight="1" x14ac:dyDescent="0.2"/>
    <row r="559" s="51" customFormat="1" ht="13.5" customHeight="1" x14ac:dyDescent="0.2"/>
    <row r="560" s="51" customFormat="1" ht="13.5" customHeight="1" x14ac:dyDescent="0.2"/>
    <row r="561" s="51" customFormat="1" ht="13.5" customHeight="1" x14ac:dyDescent="0.2"/>
    <row r="562" s="51" customFormat="1" ht="13.5" customHeight="1" x14ac:dyDescent="0.2"/>
    <row r="563" s="51" customFormat="1" ht="13.5" customHeight="1" x14ac:dyDescent="0.2"/>
    <row r="564" s="51" customFormat="1" ht="13.5" customHeight="1" x14ac:dyDescent="0.2"/>
    <row r="565" s="51" customFormat="1" ht="13.5" customHeight="1" x14ac:dyDescent="0.2"/>
    <row r="566" s="51" customFormat="1" ht="13.5" customHeight="1" x14ac:dyDescent="0.2"/>
    <row r="567" s="51" customFormat="1" ht="13.5" customHeight="1" x14ac:dyDescent="0.2"/>
    <row r="568" s="51" customFormat="1" ht="13.5" customHeight="1" x14ac:dyDescent="0.2"/>
    <row r="569" s="51" customFormat="1" ht="13.5" customHeight="1" x14ac:dyDescent="0.2"/>
    <row r="570" s="51" customFormat="1" ht="13.5" customHeight="1" x14ac:dyDescent="0.2"/>
    <row r="571" s="51" customFormat="1" ht="13.5" customHeight="1" x14ac:dyDescent="0.2"/>
    <row r="572" s="51" customFormat="1" ht="13.5" customHeight="1" x14ac:dyDescent="0.2"/>
    <row r="573" s="51" customFormat="1" ht="13.5" customHeight="1" x14ac:dyDescent="0.2"/>
    <row r="574" s="51" customFormat="1" ht="13.5" customHeight="1" x14ac:dyDescent="0.2"/>
    <row r="575" s="51" customFormat="1" ht="13.5" customHeight="1" x14ac:dyDescent="0.2"/>
    <row r="576" s="51" customFormat="1" ht="13.5" customHeight="1" x14ac:dyDescent="0.2"/>
    <row r="577" s="51" customFormat="1" ht="13.5" customHeight="1" x14ac:dyDescent="0.2"/>
    <row r="578" s="51" customFormat="1" ht="13.5" customHeight="1" x14ac:dyDescent="0.2"/>
    <row r="579" s="51" customFormat="1" ht="13.5" customHeight="1" x14ac:dyDescent="0.2"/>
    <row r="580" s="51" customFormat="1" ht="13.5" customHeight="1" x14ac:dyDescent="0.2"/>
    <row r="581" s="51" customFormat="1" ht="13.5" customHeight="1" x14ac:dyDescent="0.2"/>
    <row r="582" s="51" customFormat="1" ht="13.5" customHeight="1" x14ac:dyDescent="0.2"/>
    <row r="583" s="51" customFormat="1" ht="13.5" customHeight="1" x14ac:dyDescent="0.2"/>
    <row r="584" s="51" customFormat="1" ht="13.5" customHeight="1" x14ac:dyDescent="0.2"/>
    <row r="585" s="51" customFormat="1" ht="13.5" customHeight="1" x14ac:dyDescent="0.2"/>
    <row r="586" s="51" customFormat="1" ht="13.5" customHeight="1" x14ac:dyDescent="0.2"/>
    <row r="587" s="51" customFormat="1" ht="13.5" customHeight="1" x14ac:dyDescent="0.2"/>
    <row r="588" s="51" customFormat="1" ht="13.5" customHeight="1" x14ac:dyDescent="0.2"/>
    <row r="589" s="51" customFormat="1" ht="13.5" customHeight="1" x14ac:dyDescent="0.2"/>
    <row r="590" s="51" customFormat="1" ht="13.5" customHeight="1" x14ac:dyDescent="0.2"/>
    <row r="591" s="51" customFormat="1" ht="13.5" customHeight="1" x14ac:dyDescent="0.2"/>
    <row r="592" s="51" customFormat="1" ht="13.5" customHeight="1" x14ac:dyDescent="0.2"/>
    <row r="593" s="51" customFormat="1" ht="13.5" customHeight="1" x14ac:dyDescent="0.2"/>
    <row r="594" s="51" customFormat="1" ht="13.5" customHeight="1" x14ac:dyDescent="0.2"/>
    <row r="595" s="51" customFormat="1" ht="13.5" customHeight="1" x14ac:dyDescent="0.2"/>
    <row r="596" s="51" customFormat="1" ht="13.5" customHeight="1" x14ac:dyDescent="0.2"/>
    <row r="597" s="51" customFormat="1" ht="13.5" customHeight="1" x14ac:dyDescent="0.2"/>
    <row r="598" s="51" customFormat="1" ht="13.5" customHeight="1" x14ac:dyDescent="0.2"/>
    <row r="599" s="51" customFormat="1" ht="13.5" customHeight="1" x14ac:dyDescent="0.2"/>
    <row r="600" s="51" customFormat="1" ht="13.5" customHeight="1" x14ac:dyDescent="0.2"/>
    <row r="601" s="51" customFormat="1" ht="13.5" customHeight="1" x14ac:dyDescent="0.2"/>
    <row r="602" s="51" customFormat="1" ht="13.5" customHeight="1" x14ac:dyDescent="0.2"/>
    <row r="603" s="51" customFormat="1" ht="13.5" customHeight="1" x14ac:dyDescent="0.2"/>
    <row r="604" s="51" customFormat="1" ht="13.5" customHeight="1" x14ac:dyDescent="0.2"/>
    <row r="605" s="51" customFormat="1" ht="13.5" customHeight="1" x14ac:dyDescent="0.2"/>
    <row r="606" s="51" customFormat="1" ht="13.5" customHeight="1" x14ac:dyDescent="0.2"/>
    <row r="607" s="51" customFormat="1" ht="13.5" customHeight="1" x14ac:dyDescent="0.2"/>
    <row r="608" s="51" customFormat="1" ht="13.5" customHeight="1" x14ac:dyDescent="0.2"/>
    <row r="609" s="51" customFormat="1" ht="13.5" customHeight="1" x14ac:dyDescent="0.2"/>
    <row r="610" s="51" customFormat="1" ht="13.5" customHeight="1" x14ac:dyDescent="0.2"/>
    <row r="611" s="51" customFormat="1" ht="13.5" customHeight="1" x14ac:dyDescent="0.2"/>
    <row r="612" s="51" customFormat="1" ht="13.5" customHeight="1" x14ac:dyDescent="0.2"/>
    <row r="613" s="51" customFormat="1" ht="13.5" customHeight="1" x14ac:dyDescent="0.2"/>
    <row r="614" s="51" customFormat="1" ht="13.5" customHeight="1" x14ac:dyDescent="0.2"/>
    <row r="615" s="51" customFormat="1" ht="13.5" customHeight="1" x14ac:dyDescent="0.2"/>
    <row r="616" s="51" customFormat="1" ht="13.5" customHeight="1" x14ac:dyDescent="0.2"/>
    <row r="617" s="51" customFormat="1" ht="13.5" customHeight="1" x14ac:dyDescent="0.2"/>
    <row r="618" s="51" customFormat="1" ht="13.5" customHeight="1" x14ac:dyDescent="0.2"/>
    <row r="619" s="51" customFormat="1" ht="13.5" customHeight="1" x14ac:dyDescent="0.2"/>
    <row r="620" s="51" customFormat="1" ht="13.5" customHeight="1" x14ac:dyDescent="0.2"/>
    <row r="621" s="51" customFormat="1" ht="13.5" customHeight="1" x14ac:dyDescent="0.2"/>
    <row r="622" s="51" customFormat="1" ht="13.5" customHeight="1" x14ac:dyDescent="0.2"/>
    <row r="623" s="51" customFormat="1" ht="13.5" customHeight="1" x14ac:dyDescent="0.2"/>
    <row r="624" s="51" customFormat="1" ht="13.5" customHeight="1" x14ac:dyDescent="0.2"/>
    <row r="625" s="51" customFormat="1" ht="13.5" customHeight="1" x14ac:dyDescent="0.2"/>
    <row r="626" s="51" customFormat="1" ht="13.5" customHeight="1" x14ac:dyDescent="0.2"/>
    <row r="627" s="51" customFormat="1" ht="13.5" customHeight="1" x14ac:dyDescent="0.2"/>
    <row r="628" s="51" customFormat="1" ht="13.5" customHeight="1" x14ac:dyDescent="0.2"/>
    <row r="629" s="51" customFormat="1" ht="13.5" customHeight="1" x14ac:dyDescent="0.2"/>
    <row r="630" s="51" customFormat="1" ht="13.5" customHeight="1" x14ac:dyDescent="0.2"/>
    <row r="631" s="51" customFormat="1" ht="13.5" customHeight="1" x14ac:dyDescent="0.2"/>
    <row r="632" s="51" customFormat="1" ht="13.5" customHeight="1" x14ac:dyDescent="0.2"/>
    <row r="633" s="51" customFormat="1" ht="13.5" customHeight="1" x14ac:dyDescent="0.2"/>
    <row r="634" s="51" customFormat="1" ht="13.5" customHeight="1" x14ac:dyDescent="0.2"/>
    <row r="635" s="51" customFormat="1" ht="13.5" customHeight="1" x14ac:dyDescent="0.2"/>
    <row r="636" s="51" customFormat="1" ht="13.5" customHeight="1" x14ac:dyDescent="0.2"/>
    <row r="637" s="51" customFormat="1" ht="13.5" customHeight="1" x14ac:dyDescent="0.2"/>
    <row r="638" s="51" customFormat="1" ht="13.5" customHeight="1" x14ac:dyDescent="0.2"/>
    <row r="639" s="51" customFormat="1" ht="13.5" customHeight="1" x14ac:dyDescent="0.2"/>
    <row r="640" s="51" customFormat="1" ht="13.5" customHeight="1" x14ac:dyDescent="0.2"/>
    <row r="641" s="51" customFormat="1" ht="13.5" customHeight="1" x14ac:dyDescent="0.2"/>
    <row r="642" s="51" customFormat="1" ht="13.5" customHeight="1" x14ac:dyDescent="0.2"/>
    <row r="643" s="51" customFormat="1" ht="13.5" customHeight="1" x14ac:dyDescent="0.2"/>
    <row r="644" s="51" customFormat="1" ht="13.5" customHeight="1" x14ac:dyDescent="0.2"/>
    <row r="645" s="51" customFormat="1" ht="13.5" customHeight="1" x14ac:dyDescent="0.2"/>
    <row r="646" s="51" customFormat="1" ht="13.5" customHeight="1" x14ac:dyDescent="0.2"/>
    <row r="647" s="51" customFormat="1" ht="13.5" customHeight="1" x14ac:dyDescent="0.2"/>
    <row r="648" s="51" customFormat="1" ht="13.5" customHeight="1" x14ac:dyDescent="0.2"/>
    <row r="649" s="51" customFormat="1" ht="13.5" customHeight="1" x14ac:dyDescent="0.2"/>
    <row r="650" s="51" customFormat="1" ht="13.5" customHeight="1" x14ac:dyDescent="0.2"/>
    <row r="651" s="51" customFormat="1" ht="13.5" customHeight="1" x14ac:dyDescent="0.2"/>
    <row r="652" s="51" customFormat="1" ht="13.5" customHeight="1" x14ac:dyDescent="0.2"/>
    <row r="653" s="51" customFormat="1" ht="13.5" customHeight="1" x14ac:dyDescent="0.2"/>
    <row r="654" s="51" customFormat="1" ht="13.5" customHeight="1" x14ac:dyDescent="0.2"/>
    <row r="655" s="51" customFormat="1" ht="13.5" customHeight="1" x14ac:dyDescent="0.2"/>
    <row r="656" s="51" customFormat="1" ht="13.5" customHeight="1" x14ac:dyDescent="0.2"/>
    <row r="657" s="51" customFormat="1" ht="13.5" customHeight="1" x14ac:dyDescent="0.2"/>
    <row r="658" s="51" customFormat="1" ht="13.5" customHeight="1" x14ac:dyDescent="0.2"/>
    <row r="659" s="51" customFormat="1" ht="13.5" customHeight="1" x14ac:dyDescent="0.2"/>
    <row r="660" s="51" customFormat="1" ht="13.5" customHeight="1" x14ac:dyDescent="0.2"/>
    <row r="661" s="51" customFormat="1" ht="13.5" customHeight="1" x14ac:dyDescent="0.2"/>
    <row r="662" s="51" customFormat="1" ht="13.5" customHeight="1" x14ac:dyDescent="0.2"/>
    <row r="663" s="51" customFormat="1" ht="13.5" customHeight="1" x14ac:dyDescent="0.2"/>
    <row r="664" s="51" customFormat="1" ht="13.5" customHeight="1" x14ac:dyDescent="0.2"/>
    <row r="665" s="51" customFormat="1" ht="13.5" customHeight="1" x14ac:dyDescent="0.2"/>
    <row r="666" s="51" customFormat="1" ht="13.5" customHeight="1" x14ac:dyDescent="0.2"/>
    <row r="667" s="51" customFormat="1" ht="13.5" customHeight="1" x14ac:dyDescent="0.2"/>
    <row r="668" s="51" customFormat="1" ht="13.5" customHeight="1" x14ac:dyDescent="0.2"/>
    <row r="669" s="51" customFormat="1" ht="13.5" customHeight="1" x14ac:dyDescent="0.2"/>
    <row r="670" s="51" customFormat="1" ht="13.5" customHeight="1" x14ac:dyDescent="0.2"/>
    <row r="671" s="51" customFormat="1" ht="13.5" customHeight="1" x14ac:dyDescent="0.2"/>
    <row r="672" s="51" customFormat="1" ht="13.5" customHeight="1" x14ac:dyDescent="0.2"/>
    <row r="673" s="51" customFormat="1" ht="13.5" customHeight="1" x14ac:dyDescent="0.2"/>
    <row r="674" s="51" customFormat="1" ht="13.5" customHeight="1" x14ac:dyDescent="0.2"/>
    <row r="675" s="51" customFormat="1" ht="13.5" customHeight="1" x14ac:dyDescent="0.2"/>
    <row r="676" s="51" customFormat="1" ht="13.5" customHeight="1" x14ac:dyDescent="0.2"/>
    <row r="677" s="51" customFormat="1" ht="13.5" customHeight="1" x14ac:dyDescent="0.2"/>
    <row r="678" s="51" customFormat="1" ht="13.5" customHeight="1" x14ac:dyDescent="0.2"/>
    <row r="679" s="51" customFormat="1" ht="13.5" customHeight="1" x14ac:dyDescent="0.2"/>
    <row r="680" s="51" customFormat="1" ht="13.5" customHeight="1" x14ac:dyDescent="0.2"/>
    <row r="681" s="51" customFormat="1" ht="13.5" customHeight="1" x14ac:dyDescent="0.2"/>
    <row r="682" s="51" customFormat="1" ht="13.5" customHeight="1" x14ac:dyDescent="0.2"/>
    <row r="683" s="51" customFormat="1" ht="13.5" customHeight="1" x14ac:dyDescent="0.2"/>
    <row r="684" s="51" customFormat="1" ht="13.5" customHeight="1" x14ac:dyDescent="0.2"/>
    <row r="685" s="51" customFormat="1" ht="13.5" customHeight="1" x14ac:dyDescent="0.2"/>
    <row r="686" s="51" customFormat="1" ht="13.5" customHeight="1" x14ac:dyDescent="0.2"/>
    <row r="687" s="51" customFormat="1" ht="13.5" customHeight="1" x14ac:dyDescent="0.2"/>
    <row r="688" s="51" customFormat="1" ht="13.5" customHeight="1" x14ac:dyDescent="0.2"/>
    <row r="689" s="51" customFormat="1" ht="13.5" customHeight="1" x14ac:dyDescent="0.2"/>
    <row r="690" s="51" customFormat="1" ht="13.5" customHeight="1" x14ac:dyDescent="0.2"/>
    <row r="691" s="51" customFormat="1" ht="13.5" customHeight="1" x14ac:dyDescent="0.2"/>
    <row r="692" s="51" customFormat="1" ht="13.5" customHeight="1" x14ac:dyDescent="0.2"/>
    <row r="693" s="51" customFormat="1" ht="13.5" customHeight="1" x14ac:dyDescent="0.2"/>
    <row r="694" s="51" customFormat="1" ht="13.5" customHeight="1" x14ac:dyDescent="0.2"/>
    <row r="695" s="51" customFormat="1" ht="13.5" customHeight="1" x14ac:dyDescent="0.2"/>
    <row r="696" s="51" customFormat="1" ht="13.5" customHeight="1" x14ac:dyDescent="0.2"/>
    <row r="697" s="51" customFormat="1" ht="13.5" customHeight="1" x14ac:dyDescent="0.2"/>
    <row r="698" s="51" customFormat="1" ht="13.5" customHeight="1" x14ac:dyDescent="0.2"/>
    <row r="699" s="51" customFormat="1" ht="13.5" customHeight="1" x14ac:dyDescent="0.2"/>
    <row r="700" s="51" customFormat="1" ht="13.5" customHeight="1" x14ac:dyDescent="0.2"/>
    <row r="701" s="51" customFormat="1" ht="13.5" customHeight="1" x14ac:dyDescent="0.2"/>
    <row r="702" s="51" customFormat="1" ht="13.5" customHeight="1" x14ac:dyDescent="0.2"/>
    <row r="703" s="51" customFormat="1" ht="13.5" customHeight="1" x14ac:dyDescent="0.2"/>
    <row r="704" s="51" customFormat="1" ht="13.5" customHeight="1" x14ac:dyDescent="0.2"/>
    <row r="705" s="51" customFormat="1" ht="13.5" customHeight="1" x14ac:dyDescent="0.2"/>
    <row r="706" s="51" customFormat="1" ht="13.5" customHeight="1" x14ac:dyDescent="0.2"/>
    <row r="707" s="51" customFormat="1" ht="13.5" customHeight="1" x14ac:dyDescent="0.2"/>
    <row r="708" s="51" customFormat="1" ht="13.5" customHeight="1" x14ac:dyDescent="0.2"/>
    <row r="709" s="51" customFormat="1" ht="13.5" customHeight="1" x14ac:dyDescent="0.2"/>
    <row r="710" s="51" customFormat="1" ht="13.5" customHeight="1" x14ac:dyDescent="0.2"/>
    <row r="711" s="51" customFormat="1" ht="13.5" customHeight="1" x14ac:dyDescent="0.2"/>
    <row r="712" s="51" customFormat="1" ht="13.5" customHeight="1" x14ac:dyDescent="0.2"/>
    <row r="713" s="51" customFormat="1" ht="13.5" customHeight="1" x14ac:dyDescent="0.2"/>
    <row r="714" s="51" customFormat="1" ht="13.5" customHeight="1" x14ac:dyDescent="0.2"/>
    <row r="715" s="51" customFormat="1" ht="13.5" customHeight="1" x14ac:dyDescent="0.2"/>
    <row r="716" s="51" customFormat="1" ht="13.5" customHeight="1" x14ac:dyDescent="0.2"/>
    <row r="717" s="51" customFormat="1" ht="13.5" customHeight="1" x14ac:dyDescent="0.2"/>
    <row r="718" s="51" customFormat="1" ht="13.5" customHeight="1" x14ac:dyDescent="0.2"/>
    <row r="719" s="51" customFormat="1" ht="13.5" customHeight="1" x14ac:dyDescent="0.2"/>
    <row r="720" s="51" customFormat="1" ht="13.5" customHeight="1" x14ac:dyDescent="0.2"/>
    <row r="721" s="51" customFormat="1" ht="13.5" customHeight="1" x14ac:dyDescent="0.2"/>
    <row r="722" s="51" customFormat="1" ht="13.5" customHeight="1" x14ac:dyDescent="0.2"/>
    <row r="723" s="51" customFormat="1" ht="13.5" customHeight="1" x14ac:dyDescent="0.2"/>
    <row r="724" s="51" customFormat="1" ht="13.5" customHeight="1" x14ac:dyDescent="0.2"/>
    <row r="725" s="51" customFormat="1" ht="13.5" customHeight="1" x14ac:dyDescent="0.2"/>
    <row r="726" s="51" customFormat="1" ht="13.5" customHeight="1" x14ac:dyDescent="0.2"/>
    <row r="727" s="51" customFormat="1" ht="13.5" customHeight="1" x14ac:dyDescent="0.2"/>
    <row r="728" s="51" customFormat="1" ht="13.5" customHeight="1" x14ac:dyDescent="0.2"/>
    <row r="729" s="51" customFormat="1" ht="13.5" customHeight="1" x14ac:dyDescent="0.2"/>
    <row r="730" s="51" customFormat="1" ht="13.5" customHeight="1" x14ac:dyDescent="0.2"/>
    <row r="731" s="51" customFormat="1" ht="13.5" customHeight="1" x14ac:dyDescent="0.2"/>
    <row r="732" s="51" customFormat="1" ht="13.5" customHeight="1" x14ac:dyDescent="0.2"/>
    <row r="733" s="51" customFormat="1" ht="13.5" customHeight="1" x14ac:dyDescent="0.2"/>
    <row r="734" s="51" customFormat="1" ht="13.5" customHeight="1" x14ac:dyDescent="0.2"/>
    <row r="735" s="51" customFormat="1" ht="13.5" customHeight="1" x14ac:dyDescent="0.2"/>
    <row r="736" s="51" customFormat="1" ht="13.5" customHeight="1" x14ac:dyDescent="0.2"/>
    <row r="737" s="51" customFormat="1" ht="13.5" customHeight="1" x14ac:dyDescent="0.2"/>
    <row r="738" s="51" customFormat="1" ht="13.5" customHeight="1" x14ac:dyDescent="0.2"/>
    <row r="739" s="51" customFormat="1" ht="13.5" customHeight="1" x14ac:dyDescent="0.2"/>
    <row r="740" s="51" customFormat="1" ht="13.5" customHeight="1" x14ac:dyDescent="0.2"/>
    <row r="741" s="51" customFormat="1" ht="13.5" customHeight="1" x14ac:dyDescent="0.2"/>
    <row r="742" s="51" customFormat="1" ht="13.5" customHeight="1" x14ac:dyDescent="0.2"/>
    <row r="743" s="51" customFormat="1" ht="13.5" customHeight="1" x14ac:dyDescent="0.2"/>
    <row r="744" s="51" customFormat="1" ht="13.5" customHeight="1" x14ac:dyDescent="0.2"/>
    <row r="745" s="51" customFormat="1" ht="13.5" customHeight="1" x14ac:dyDescent="0.2"/>
    <row r="746" s="51" customFormat="1" ht="13.5" customHeight="1" x14ac:dyDescent="0.2"/>
    <row r="747" s="51" customFormat="1" ht="13.5" customHeight="1" x14ac:dyDescent="0.2"/>
    <row r="748" s="51" customFormat="1" ht="13.5" customHeight="1" x14ac:dyDescent="0.2"/>
    <row r="749" s="51" customFormat="1" ht="13.5" customHeight="1" x14ac:dyDescent="0.2"/>
    <row r="750" s="51" customFormat="1" ht="13.5" customHeight="1" x14ac:dyDescent="0.2"/>
    <row r="751" s="51" customFormat="1" ht="13.5" customHeight="1" x14ac:dyDescent="0.2"/>
    <row r="752" s="51" customFormat="1" ht="13.5" customHeight="1" x14ac:dyDescent="0.2"/>
    <row r="753" s="51" customFormat="1" ht="13.5" customHeight="1" x14ac:dyDescent="0.2"/>
    <row r="754" s="51" customFormat="1" ht="13.5" customHeight="1" x14ac:dyDescent="0.2"/>
    <row r="755" s="51" customFormat="1" ht="13.5" customHeight="1" x14ac:dyDescent="0.2"/>
    <row r="756" s="51" customFormat="1" ht="13.5" customHeight="1" x14ac:dyDescent="0.2"/>
    <row r="757" s="51" customFormat="1" ht="13.5" customHeight="1" x14ac:dyDescent="0.2"/>
    <row r="758" s="51" customFormat="1" ht="13.5" customHeight="1" x14ac:dyDescent="0.2"/>
    <row r="759" s="51" customFormat="1" ht="13.5" customHeight="1" x14ac:dyDescent="0.2"/>
    <row r="760" s="51" customFormat="1" ht="13.5" customHeight="1" x14ac:dyDescent="0.2"/>
    <row r="761" s="51" customFormat="1" ht="13.5" customHeight="1" x14ac:dyDescent="0.2"/>
    <row r="762" s="51" customFormat="1" ht="13.5" customHeight="1" x14ac:dyDescent="0.2"/>
    <row r="763" s="51" customFormat="1" ht="13.5" customHeight="1" x14ac:dyDescent="0.2"/>
    <row r="764" s="51" customFormat="1" ht="13.5" customHeight="1" x14ac:dyDescent="0.2"/>
    <row r="765" s="51" customFormat="1" ht="13.5" customHeight="1" x14ac:dyDescent="0.2"/>
    <row r="766" s="51" customFormat="1" ht="13.5" customHeight="1" x14ac:dyDescent="0.2"/>
    <row r="767" s="51" customFormat="1" ht="13.5" customHeight="1" x14ac:dyDescent="0.2"/>
    <row r="768" s="51" customFormat="1" ht="13.5" customHeight="1" x14ac:dyDescent="0.2"/>
    <row r="769" s="51" customFormat="1" ht="13.5" customHeight="1" x14ac:dyDescent="0.2"/>
    <row r="770" s="51" customFormat="1" ht="13.5" customHeight="1" x14ac:dyDescent="0.2"/>
    <row r="771" s="51" customFormat="1" ht="13.5" customHeight="1" x14ac:dyDescent="0.2"/>
    <row r="772" s="51" customFormat="1" ht="13.5" customHeight="1" x14ac:dyDescent="0.2"/>
    <row r="773" s="51" customFormat="1" ht="13.5" customHeight="1" x14ac:dyDescent="0.2"/>
    <row r="774" s="51" customFormat="1" ht="13.5" customHeight="1" x14ac:dyDescent="0.2"/>
    <row r="775" s="51" customFormat="1" ht="13.5" customHeight="1" x14ac:dyDescent="0.2"/>
    <row r="776" s="51" customFormat="1" ht="13.5" customHeight="1" x14ac:dyDescent="0.2"/>
    <row r="777" s="51" customFormat="1" ht="13.5" customHeight="1" x14ac:dyDescent="0.2"/>
    <row r="778" s="51" customFormat="1" ht="13.5" customHeight="1" x14ac:dyDescent="0.2"/>
    <row r="779" s="51" customFormat="1" ht="13.5" customHeight="1" x14ac:dyDescent="0.2"/>
    <row r="780" s="51" customFormat="1" ht="13.5" customHeight="1" x14ac:dyDescent="0.2"/>
    <row r="781" s="51" customFormat="1" ht="13.5" customHeight="1" x14ac:dyDescent="0.2"/>
    <row r="782" s="51" customFormat="1" ht="13.5" customHeight="1" x14ac:dyDescent="0.2"/>
    <row r="783" s="51" customFormat="1" ht="13.5" customHeight="1" x14ac:dyDescent="0.2"/>
    <row r="784" s="51" customFormat="1" ht="13.5" customHeight="1" x14ac:dyDescent="0.2"/>
    <row r="785" s="51" customFormat="1" ht="13.5" customHeight="1" x14ac:dyDescent="0.2"/>
    <row r="786" s="51" customFormat="1" ht="13.5" customHeight="1" x14ac:dyDescent="0.2"/>
    <row r="787" s="51" customFormat="1" ht="13.5" customHeight="1" x14ac:dyDescent="0.2"/>
    <row r="788" s="51" customFormat="1" ht="13.5" customHeight="1" x14ac:dyDescent="0.2"/>
    <row r="789" s="51" customFormat="1" ht="13.5" customHeight="1" x14ac:dyDescent="0.2"/>
    <row r="790" s="51" customFormat="1" ht="13.5" customHeight="1" x14ac:dyDescent="0.2"/>
    <row r="791" s="51" customFormat="1" ht="13.5" customHeight="1" x14ac:dyDescent="0.2"/>
    <row r="792" s="51" customFormat="1" ht="13.5" customHeight="1" x14ac:dyDescent="0.2"/>
    <row r="793" s="51" customFormat="1" ht="13.5" customHeight="1" x14ac:dyDescent="0.2"/>
    <row r="794" s="51" customFormat="1" ht="13.5" customHeight="1" x14ac:dyDescent="0.2"/>
    <row r="795" s="51" customFormat="1" ht="13.5" customHeight="1" x14ac:dyDescent="0.2"/>
    <row r="796" s="51" customFormat="1" ht="13.5" customHeight="1" x14ac:dyDescent="0.2"/>
    <row r="797" s="51" customFormat="1" ht="13.5" customHeight="1" x14ac:dyDescent="0.2"/>
    <row r="798" s="51" customFormat="1" ht="13.5" customHeight="1" x14ac:dyDescent="0.2"/>
    <row r="799" s="51" customFormat="1" ht="13.5" customHeight="1" x14ac:dyDescent="0.2"/>
    <row r="800" s="51" customFormat="1" ht="13.5" customHeight="1" x14ac:dyDescent="0.2"/>
    <row r="801" s="51" customFormat="1" ht="13.5" customHeight="1" x14ac:dyDescent="0.2"/>
    <row r="802" s="51" customFormat="1" ht="13.5" customHeight="1" x14ac:dyDescent="0.2"/>
    <row r="803" s="51" customFormat="1" ht="13.5" customHeight="1" x14ac:dyDescent="0.2"/>
    <row r="804" s="51" customFormat="1" ht="13.5" customHeight="1" x14ac:dyDescent="0.2"/>
    <row r="805" s="51" customFormat="1" ht="13.5" customHeight="1" x14ac:dyDescent="0.2"/>
    <row r="806" s="51" customFormat="1" ht="13.5" customHeight="1" x14ac:dyDescent="0.2"/>
    <row r="807" s="51" customFormat="1" ht="13.5" customHeight="1" x14ac:dyDescent="0.2"/>
    <row r="808" s="51" customFormat="1" ht="13.5" customHeight="1" x14ac:dyDescent="0.2"/>
    <row r="809" s="51" customFormat="1" ht="13.5" customHeight="1" x14ac:dyDescent="0.2"/>
    <row r="810" s="51" customFormat="1" ht="13.5" customHeight="1" x14ac:dyDescent="0.2"/>
    <row r="811" s="51" customFormat="1" ht="13.5" customHeight="1" x14ac:dyDescent="0.2"/>
    <row r="812" s="51" customFormat="1" ht="13.5" customHeight="1" x14ac:dyDescent="0.2"/>
    <row r="813" s="51" customFormat="1" ht="13.5" customHeight="1" x14ac:dyDescent="0.2"/>
    <row r="814" s="51" customFormat="1" ht="13.5" customHeight="1" x14ac:dyDescent="0.2"/>
    <row r="815" s="51" customFormat="1" ht="13.5" customHeight="1" x14ac:dyDescent="0.2"/>
    <row r="816" s="51" customFormat="1" ht="13.5" customHeight="1" x14ac:dyDescent="0.2"/>
    <row r="817" s="51" customFormat="1" ht="13.5" customHeight="1" x14ac:dyDescent="0.2"/>
    <row r="818" s="51" customFormat="1" ht="13.5" customHeight="1" x14ac:dyDescent="0.2"/>
    <row r="819" s="51" customFormat="1" ht="13.5" customHeight="1" x14ac:dyDescent="0.2"/>
    <row r="820" s="51" customFormat="1" ht="13.5" customHeight="1" x14ac:dyDescent="0.2"/>
    <row r="821" s="51" customFormat="1" ht="13.5" customHeight="1" x14ac:dyDescent="0.2"/>
    <row r="822" s="51" customFormat="1" ht="13.5" customHeight="1" x14ac:dyDescent="0.2"/>
    <row r="823" s="51" customFormat="1" ht="13.5" customHeight="1" x14ac:dyDescent="0.2"/>
    <row r="824" s="51" customFormat="1" ht="13.5" customHeight="1" x14ac:dyDescent="0.2"/>
    <row r="825" s="51" customFormat="1" ht="13.5" customHeight="1" x14ac:dyDescent="0.2"/>
    <row r="826" s="51" customFormat="1" ht="13.5" customHeight="1" x14ac:dyDescent="0.2"/>
    <row r="827" s="51" customFormat="1" ht="13.5" customHeight="1" x14ac:dyDescent="0.2"/>
    <row r="828" s="51" customFormat="1" ht="13.5" customHeight="1" x14ac:dyDescent="0.2"/>
    <row r="829" s="51" customFormat="1" ht="13.5" customHeight="1" x14ac:dyDescent="0.2"/>
    <row r="830" s="51" customFormat="1" ht="13.5" customHeight="1" x14ac:dyDescent="0.2"/>
    <row r="831" s="51" customFormat="1" ht="13.5" customHeight="1" x14ac:dyDescent="0.2"/>
    <row r="832" s="51" customFormat="1" ht="13.5" customHeight="1" x14ac:dyDescent="0.2"/>
    <row r="833" s="51" customFormat="1" ht="13.5" customHeight="1" x14ac:dyDescent="0.2"/>
    <row r="834" s="51" customFormat="1" ht="13.5" customHeight="1" x14ac:dyDescent="0.2"/>
    <row r="835" s="51" customFormat="1" ht="13.5" customHeight="1" x14ac:dyDescent="0.2"/>
    <row r="836" s="51" customFormat="1" ht="13.5" customHeight="1" x14ac:dyDescent="0.2"/>
    <row r="837" s="51" customFormat="1" ht="13.5" customHeight="1" x14ac:dyDescent="0.2"/>
    <row r="838" s="51" customFormat="1" ht="13.5" customHeight="1" x14ac:dyDescent="0.2"/>
    <row r="839" s="51" customFormat="1" ht="13.5" customHeight="1" x14ac:dyDescent="0.2"/>
    <row r="840" s="51" customFormat="1" ht="13.5" customHeight="1" x14ac:dyDescent="0.2"/>
    <row r="841" s="51" customFormat="1" ht="13.5" customHeight="1" x14ac:dyDescent="0.2"/>
    <row r="842" s="51" customFormat="1" ht="13.5" customHeight="1" x14ac:dyDescent="0.2"/>
    <row r="843" s="51" customFormat="1" ht="13.5" customHeight="1" x14ac:dyDescent="0.2"/>
    <row r="844" s="51" customFormat="1" ht="13.5" customHeight="1" x14ac:dyDescent="0.2"/>
    <row r="845" s="51" customFormat="1" ht="13.5" customHeight="1" x14ac:dyDescent="0.2"/>
    <row r="846" s="51" customFormat="1" ht="13.5" customHeight="1" x14ac:dyDescent="0.2"/>
    <row r="847" s="51" customFormat="1" ht="13.5" customHeight="1" x14ac:dyDescent="0.2"/>
    <row r="848" s="51" customFormat="1" ht="13.5" customHeight="1" x14ac:dyDescent="0.2"/>
    <row r="849" s="51" customFormat="1" ht="13.5" customHeight="1" x14ac:dyDescent="0.2"/>
    <row r="850" s="51" customFormat="1" ht="13.5" customHeight="1" x14ac:dyDescent="0.2"/>
    <row r="851" s="51" customFormat="1" ht="13.5" customHeight="1" x14ac:dyDescent="0.2"/>
    <row r="852" s="51" customFormat="1" ht="13.5" customHeight="1" x14ac:dyDescent="0.2"/>
    <row r="853" s="51" customFormat="1" ht="13.5" customHeight="1" x14ac:dyDescent="0.2"/>
    <row r="854" s="51" customFormat="1" ht="13.5" customHeight="1" x14ac:dyDescent="0.2"/>
    <row r="855" s="51" customFormat="1" ht="13.5" customHeight="1" x14ac:dyDescent="0.2"/>
    <row r="856" s="51" customFormat="1" ht="13.5" customHeight="1" x14ac:dyDescent="0.2"/>
    <row r="857" s="51" customFormat="1" ht="13.5" customHeight="1" x14ac:dyDescent="0.2"/>
    <row r="858" s="51" customFormat="1" ht="13.5" customHeight="1" x14ac:dyDescent="0.2"/>
    <row r="859" s="51" customFormat="1" ht="13.5" customHeight="1" x14ac:dyDescent="0.2"/>
    <row r="860" s="51" customFormat="1" ht="13.5" customHeight="1" x14ac:dyDescent="0.2"/>
    <row r="861" s="51" customFormat="1" ht="13.5" customHeight="1" x14ac:dyDescent="0.2"/>
    <row r="862" s="51" customFormat="1" ht="13.5" customHeight="1" x14ac:dyDescent="0.2"/>
    <row r="863" s="51" customFormat="1" ht="13.5" customHeight="1" x14ac:dyDescent="0.2"/>
    <row r="864" s="51" customFormat="1" ht="13.5" customHeight="1" x14ac:dyDescent="0.2"/>
    <row r="865" s="51" customFormat="1" ht="13.5" customHeight="1" x14ac:dyDescent="0.2"/>
    <row r="866" s="51" customFormat="1" ht="13.5" customHeight="1" x14ac:dyDescent="0.2"/>
    <row r="867" s="51" customFormat="1" ht="13.5" customHeight="1" x14ac:dyDescent="0.2"/>
    <row r="868" s="51" customFormat="1" ht="13.5" customHeight="1" x14ac:dyDescent="0.2"/>
    <row r="869" s="51" customFormat="1" ht="13.5" customHeight="1" x14ac:dyDescent="0.2"/>
    <row r="870" s="51" customFormat="1" ht="13.5" customHeight="1" x14ac:dyDescent="0.2"/>
    <row r="871" s="51" customFormat="1" ht="13.5" customHeight="1" x14ac:dyDescent="0.2"/>
    <row r="872" s="51" customFormat="1" ht="13.5" customHeight="1" x14ac:dyDescent="0.2"/>
    <row r="873" s="51" customFormat="1" ht="13.5" customHeight="1" x14ac:dyDescent="0.2"/>
    <row r="874" s="51" customFormat="1" ht="13.5" customHeight="1" x14ac:dyDescent="0.2"/>
    <row r="875" s="51" customFormat="1" ht="13.5" customHeight="1" x14ac:dyDescent="0.2"/>
    <row r="876" s="51" customFormat="1" ht="13.5" customHeight="1" x14ac:dyDescent="0.2"/>
    <row r="877" s="51" customFormat="1" ht="13.5" customHeight="1" x14ac:dyDescent="0.2"/>
    <row r="878" s="51" customFormat="1" ht="13.5" customHeight="1" x14ac:dyDescent="0.2"/>
    <row r="879" s="51" customFormat="1" ht="13.5" customHeight="1" x14ac:dyDescent="0.2"/>
    <row r="880" s="51" customFormat="1" ht="13.5" customHeight="1" x14ac:dyDescent="0.2"/>
    <row r="881" s="51" customFormat="1" ht="13.5" customHeight="1" x14ac:dyDescent="0.2"/>
    <row r="882" s="51" customFormat="1" ht="13.5" customHeight="1" x14ac:dyDescent="0.2"/>
    <row r="883" s="51" customFormat="1" ht="13.5" customHeight="1" x14ac:dyDescent="0.2"/>
    <row r="884" s="51" customFormat="1" ht="13.5" customHeight="1" x14ac:dyDescent="0.2"/>
    <row r="885" s="51" customFormat="1" ht="13.5" customHeight="1" x14ac:dyDescent="0.2"/>
    <row r="886" s="51" customFormat="1" ht="13.5" customHeight="1" x14ac:dyDescent="0.2"/>
    <row r="887" s="51" customFormat="1" ht="13.5" customHeight="1" x14ac:dyDescent="0.2"/>
    <row r="888" s="51" customFormat="1" ht="13.5" customHeight="1" x14ac:dyDescent="0.2"/>
    <row r="889" s="51" customFormat="1" ht="13.5" customHeight="1" x14ac:dyDescent="0.2"/>
    <row r="890" s="51" customFormat="1" ht="13.5" customHeight="1" x14ac:dyDescent="0.2"/>
    <row r="891" s="51" customFormat="1" ht="13.5" customHeight="1" x14ac:dyDescent="0.2"/>
    <row r="892" s="51" customFormat="1" ht="13.5" customHeight="1" x14ac:dyDescent="0.2"/>
    <row r="893" s="51" customFormat="1" ht="13.5" customHeight="1" x14ac:dyDescent="0.2"/>
    <row r="894" s="51" customFormat="1" ht="13.5" customHeight="1" x14ac:dyDescent="0.2"/>
    <row r="895" s="51" customFormat="1" ht="13.5" customHeight="1" x14ac:dyDescent="0.2"/>
    <row r="896" s="51" customFormat="1" ht="13.5" customHeight="1" x14ac:dyDescent="0.2"/>
    <row r="897" s="51" customFormat="1" ht="13.5" customHeight="1" x14ac:dyDescent="0.2"/>
    <row r="898" s="51" customFormat="1" ht="13.5" customHeight="1" x14ac:dyDescent="0.2"/>
    <row r="899" s="51" customFormat="1" ht="13.5" customHeight="1" x14ac:dyDescent="0.2"/>
    <row r="900" s="51" customFormat="1" ht="13.5" customHeight="1" x14ac:dyDescent="0.2"/>
    <row r="901" s="51" customFormat="1" ht="13.5" customHeight="1" x14ac:dyDescent="0.2"/>
    <row r="902" s="51" customFormat="1" ht="13.5" customHeight="1" x14ac:dyDescent="0.2"/>
    <row r="903" s="51" customFormat="1" ht="13.5" customHeight="1" x14ac:dyDescent="0.2"/>
    <row r="904" s="51" customFormat="1" ht="13.5" customHeight="1" x14ac:dyDescent="0.2"/>
    <row r="905" s="51" customFormat="1" ht="13.5" customHeight="1" x14ac:dyDescent="0.2"/>
    <row r="906" s="51" customFormat="1" ht="13.5" customHeight="1" x14ac:dyDescent="0.2"/>
    <row r="907" s="51" customFormat="1" ht="13.5" customHeight="1" x14ac:dyDescent="0.2"/>
    <row r="908" s="51" customFormat="1" ht="13.5" customHeight="1" x14ac:dyDescent="0.2"/>
    <row r="909" s="51" customFormat="1" ht="13.5" customHeight="1" x14ac:dyDescent="0.2"/>
    <row r="910" s="51" customFormat="1" ht="13.5" customHeight="1" x14ac:dyDescent="0.2"/>
    <row r="911" s="51" customFormat="1" ht="13.5" customHeight="1" x14ac:dyDescent="0.2"/>
    <row r="912" s="51" customFormat="1" ht="13.5" customHeight="1" x14ac:dyDescent="0.2"/>
    <row r="913" s="51" customFormat="1" ht="13.5" customHeight="1" x14ac:dyDescent="0.2"/>
    <row r="914" s="51" customFormat="1" ht="13.5" customHeight="1" x14ac:dyDescent="0.2"/>
    <row r="915" s="51" customFormat="1" ht="13.5" customHeight="1" x14ac:dyDescent="0.2"/>
    <row r="916" s="51" customFormat="1" ht="13.5" customHeight="1" x14ac:dyDescent="0.2"/>
    <row r="917" s="51" customFormat="1" ht="13.5" customHeight="1" x14ac:dyDescent="0.2"/>
    <row r="918" s="51" customFormat="1" ht="13.5" customHeight="1" x14ac:dyDescent="0.2"/>
    <row r="919" s="51" customFormat="1" ht="13.5" customHeight="1" x14ac:dyDescent="0.2"/>
    <row r="920" s="51" customFormat="1" ht="13.5" customHeight="1" x14ac:dyDescent="0.2"/>
    <row r="921" s="51" customFormat="1" ht="13.5" customHeight="1" x14ac:dyDescent="0.2"/>
    <row r="922" s="51" customFormat="1" ht="13.5" customHeight="1" x14ac:dyDescent="0.2"/>
    <row r="923" s="51" customFormat="1" ht="13.5" customHeight="1" x14ac:dyDescent="0.2"/>
    <row r="924" s="51" customFormat="1" ht="13.5" customHeight="1" x14ac:dyDescent="0.2"/>
    <row r="925" s="51" customFormat="1" ht="13.5" customHeight="1" x14ac:dyDescent="0.2"/>
    <row r="926" s="51" customFormat="1" ht="13.5" customHeight="1" x14ac:dyDescent="0.2"/>
    <row r="927" s="51" customFormat="1" ht="13.5" customHeight="1" x14ac:dyDescent="0.2"/>
    <row r="928" s="51" customFormat="1" ht="13.5" customHeight="1" x14ac:dyDescent="0.2"/>
    <row r="929" s="51" customFormat="1" ht="13.5" customHeight="1" x14ac:dyDescent="0.2"/>
    <row r="930" s="51" customFormat="1" ht="13.5" customHeight="1" x14ac:dyDescent="0.2"/>
    <row r="931" s="51" customFormat="1" ht="13.5" customHeight="1" x14ac:dyDescent="0.2"/>
    <row r="932" s="51" customFormat="1" ht="13.5" customHeight="1" x14ac:dyDescent="0.2"/>
    <row r="933" s="51" customFormat="1" ht="13.5" customHeight="1" x14ac:dyDescent="0.2"/>
    <row r="934" s="51" customFormat="1" ht="13.5" customHeight="1" x14ac:dyDescent="0.2"/>
    <row r="935" s="51" customFormat="1" ht="13.5" customHeight="1" x14ac:dyDescent="0.2"/>
    <row r="936" s="51" customFormat="1" ht="13.5" customHeight="1" x14ac:dyDescent="0.2"/>
    <row r="937" s="51" customFormat="1" ht="13.5" customHeight="1" x14ac:dyDescent="0.2"/>
    <row r="938" s="51" customFormat="1" ht="13.5" customHeight="1" x14ac:dyDescent="0.2"/>
    <row r="939" s="51" customFormat="1" ht="13.5" customHeight="1" x14ac:dyDescent="0.2"/>
    <row r="940" s="51" customFormat="1" ht="13.5" customHeight="1" x14ac:dyDescent="0.2"/>
    <row r="941" s="51" customFormat="1" ht="13.5" customHeight="1" x14ac:dyDescent="0.2"/>
    <row r="942" s="51" customFormat="1" ht="13.5" customHeight="1" x14ac:dyDescent="0.2"/>
    <row r="943" s="51" customFormat="1" ht="13.5" customHeight="1" x14ac:dyDescent="0.2"/>
    <row r="944" s="51" customFormat="1" ht="13.5" customHeight="1" x14ac:dyDescent="0.2"/>
    <row r="945" s="51" customFormat="1" ht="13.5" customHeight="1" x14ac:dyDescent="0.2"/>
    <row r="946" s="51" customFormat="1" ht="13.5" customHeight="1" x14ac:dyDescent="0.2"/>
    <row r="947" s="51" customFormat="1" ht="13.5" customHeight="1" x14ac:dyDescent="0.2"/>
    <row r="948" s="51" customFormat="1" ht="13.5" customHeight="1" x14ac:dyDescent="0.2"/>
    <row r="949" s="51" customFormat="1" ht="13.5" customHeight="1" x14ac:dyDescent="0.2"/>
    <row r="950" s="51" customFormat="1" ht="13.5" customHeight="1" x14ac:dyDescent="0.2"/>
    <row r="951" s="51" customFormat="1" ht="13.5" customHeight="1" x14ac:dyDescent="0.2"/>
    <row r="952" s="51" customFormat="1" ht="13.5" customHeight="1" x14ac:dyDescent="0.2"/>
    <row r="953" s="51" customFormat="1" ht="13.5" customHeight="1" x14ac:dyDescent="0.2"/>
    <row r="954" s="51" customFormat="1" ht="13.5" customHeight="1" x14ac:dyDescent="0.2"/>
    <row r="955" s="51" customFormat="1" ht="13.5" customHeight="1" x14ac:dyDescent="0.2"/>
    <row r="956" s="51" customFormat="1" ht="13.5" customHeight="1" x14ac:dyDescent="0.2"/>
    <row r="957" s="51" customFormat="1" ht="13.5" customHeight="1" x14ac:dyDescent="0.2"/>
    <row r="958" s="51" customFormat="1" ht="13.5" customHeight="1" x14ac:dyDescent="0.2"/>
    <row r="959" s="51" customFormat="1" ht="13.5" customHeight="1" x14ac:dyDescent="0.2"/>
    <row r="960" s="51" customFormat="1" ht="13.5" customHeight="1" x14ac:dyDescent="0.2"/>
    <row r="961" s="51" customFormat="1" ht="13.5" customHeight="1" x14ac:dyDescent="0.2"/>
    <row r="962" s="51" customFormat="1" ht="13.5" customHeight="1" x14ac:dyDescent="0.2"/>
    <row r="963" s="51" customFormat="1" ht="13.5" customHeight="1" x14ac:dyDescent="0.2"/>
    <row r="964" s="51" customFormat="1" ht="13.5" customHeight="1" x14ac:dyDescent="0.2"/>
    <row r="965" s="51" customFormat="1" ht="13.5" customHeight="1" x14ac:dyDescent="0.2"/>
    <row r="966" s="51" customFormat="1" ht="13.5" customHeight="1" x14ac:dyDescent="0.2"/>
    <row r="967" s="51" customFormat="1" ht="13.5" customHeight="1" x14ac:dyDescent="0.2"/>
    <row r="968" s="51" customFormat="1" ht="13.5" customHeight="1" x14ac:dyDescent="0.2"/>
    <row r="969" s="51" customFormat="1" ht="13.5" customHeight="1" x14ac:dyDescent="0.2"/>
    <row r="970" s="51" customFormat="1" ht="13.5" customHeight="1" x14ac:dyDescent="0.2"/>
    <row r="971" s="51" customFormat="1" ht="13.5" customHeight="1" x14ac:dyDescent="0.2"/>
    <row r="972" s="51" customFormat="1" ht="13.5" customHeight="1" x14ac:dyDescent="0.2"/>
    <row r="973" s="51" customFormat="1" ht="13.5" customHeight="1" x14ac:dyDescent="0.2"/>
    <row r="974" s="51" customFormat="1" ht="13.5" customHeight="1" x14ac:dyDescent="0.2"/>
    <row r="975" s="51" customFormat="1" ht="13.5" customHeight="1" x14ac:dyDescent="0.2"/>
    <row r="976" s="51" customFormat="1" ht="13.5" customHeight="1" x14ac:dyDescent="0.2"/>
    <row r="977" s="51" customFormat="1" ht="13.5" customHeight="1" x14ac:dyDescent="0.2"/>
    <row r="978" s="51" customFormat="1" ht="13.5" customHeight="1" x14ac:dyDescent="0.2"/>
    <row r="979" s="51" customFormat="1" ht="13.5" customHeight="1" x14ac:dyDescent="0.2"/>
    <row r="980" s="51" customFormat="1" ht="13.5" customHeight="1" x14ac:dyDescent="0.2"/>
    <row r="981" s="51" customFormat="1" ht="13.5" customHeight="1" x14ac:dyDescent="0.2"/>
    <row r="982" s="51" customFormat="1" ht="13.5" customHeight="1" x14ac:dyDescent="0.2"/>
    <row r="983" s="51" customFormat="1" ht="13.5" customHeight="1" x14ac:dyDescent="0.2"/>
    <row r="984" s="51" customFormat="1" ht="13.5" customHeight="1" x14ac:dyDescent="0.2"/>
    <row r="985" s="51" customFormat="1" ht="13.5" customHeight="1" x14ac:dyDescent="0.2"/>
    <row r="986" s="51" customFormat="1" ht="13.5" customHeight="1" x14ac:dyDescent="0.2"/>
    <row r="987" s="51" customFormat="1" ht="13.5" customHeight="1" x14ac:dyDescent="0.2"/>
    <row r="988" s="51" customFormat="1" ht="13.5" customHeight="1" x14ac:dyDescent="0.2"/>
    <row r="989" s="51" customFormat="1" ht="13.5" customHeight="1" x14ac:dyDescent="0.2"/>
    <row r="990" s="51" customFormat="1" ht="13.5" customHeight="1" x14ac:dyDescent="0.2"/>
    <row r="991" s="51" customFormat="1" ht="13.5" customHeight="1" x14ac:dyDescent="0.2"/>
    <row r="992" s="51" customFormat="1" ht="13.5" customHeight="1" x14ac:dyDescent="0.2"/>
    <row r="993" s="51" customFormat="1" ht="13.5" customHeight="1" x14ac:dyDescent="0.2"/>
    <row r="994" s="51" customFormat="1" ht="13.5" customHeight="1" x14ac:dyDescent="0.2"/>
    <row r="995" s="51" customFormat="1" ht="13.5" customHeight="1" x14ac:dyDescent="0.2"/>
    <row r="996" s="51" customFormat="1" ht="13.5" customHeight="1" x14ac:dyDescent="0.2"/>
    <row r="997" s="51" customFormat="1" ht="13.5" customHeight="1" x14ac:dyDescent="0.2"/>
    <row r="998" s="51" customFormat="1" ht="13.5" customHeight="1" x14ac:dyDescent="0.2"/>
    <row r="999" s="51" customFormat="1" ht="13.5" customHeight="1" x14ac:dyDescent="0.2"/>
    <row r="1000" s="51" customFormat="1" ht="13.5" customHeight="1" x14ac:dyDescent="0.2"/>
  </sheetData>
  <mergeCells count="6">
    <mergeCell ref="B29:N29"/>
    <mergeCell ref="B2:N3"/>
    <mergeCell ref="B4:N4"/>
    <mergeCell ref="B8:N8"/>
    <mergeCell ref="B17:N17"/>
    <mergeCell ref="B23:N2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999"/>
  <sheetViews>
    <sheetView showGridLines="0" workbookViewId="0">
      <selection activeCell="B23" sqref="B23:N23"/>
    </sheetView>
  </sheetViews>
  <sheetFormatPr baseColWidth="10" defaultColWidth="12.6640625" defaultRowHeight="15" customHeight="1" x14ac:dyDescent="0.2"/>
  <cols>
    <col min="1" max="1" width="3.33203125" style="51" customWidth="1"/>
    <col min="2" max="2" width="42" style="51" customWidth="1"/>
    <col min="3" max="6" width="13" style="51" customWidth="1"/>
    <col min="7" max="7" width="16" style="51" customWidth="1"/>
    <col min="8" max="8" width="44" style="51" customWidth="1"/>
    <col min="9" max="27" width="8.83203125" style="51" customWidth="1"/>
    <col min="28" max="16384" width="12.6640625" style="51"/>
  </cols>
  <sheetData>
    <row r="2" spans="2:8" ht="13.5" customHeight="1" x14ac:dyDescent="0.2">
      <c r="B2" s="57" t="s">
        <v>71</v>
      </c>
      <c r="C2" s="58"/>
      <c r="D2" s="58"/>
      <c r="E2" s="58"/>
      <c r="F2" s="58"/>
      <c r="G2" s="58"/>
      <c r="H2" s="59"/>
    </row>
    <row r="3" spans="2:8" ht="13.5" customHeight="1" x14ac:dyDescent="0.2">
      <c r="B3" s="60"/>
      <c r="C3" s="61"/>
      <c r="D3" s="61"/>
      <c r="E3" s="61"/>
      <c r="F3" s="61"/>
      <c r="G3" s="61"/>
      <c r="H3" s="62"/>
    </row>
    <row r="4" spans="2:8" ht="13.5" customHeight="1" x14ac:dyDescent="0.2">
      <c r="B4" s="52"/>
      <c r="C4" s="52"/>
      <c r="D4" s="52"/>
      <c r="E4" s="52"/>
      <c r="F4" s="52"/>
      <c r="G4" s="52"/>
      <c r="H4" s="52"/>
    </row>
    <row r="5" spans="2:8" ht="13.5" customHeight="1" x14ac:dyDescent="0.2">
      <c r="B5" s="53" t="s">
        <v>72</v>
      </c>
      <c r="C5" s="70" t="s">
        <v>73</v>
      </c>
      <c r="D5" s="71"/>
      <c r="E5" s="71"/>
      <c r="F5" s="71"/>
      <c r="G5" s="72"/>
      <c r="H5" s="52" t="s">
        <v>74</v>
      </c>
    </row>
    <row r="6" spans="2:8" ht="13.5" customHeight="1" x14ac:dyDescent="0.2">
      <c r="B6" s="52"/>
      <c r="C6" s="52"/>
      <c r="D6" s="52"/>
      <c r="E6" s="52"/>
      <c r="F6" s="52"/>
      <c r="G6" s="52"/>
      <c r="H6" s="52"/>
    </row>
    <row r="7" spans="2:8" ht="13.5" customHeight="1" x14ac:dyDescent="0.2">
      <c r="B7" s="3" t="s">
        <v>75</v>
      </c>
      <c r="C7" s="3" t="s">
        <v>73</v>
      </c>
      <c r="D7" s="3" t="s">
        <v>76</v>
      </c>
      <c r="E7" s="3" t="s">
        <v>77</v>
      </c>
      <c r="F7" s="3" t="s">
        <v>78</v>
      </c>
      <c r="G7" s="3" t="s">
        <v>11</v>
      </c>
      <c r="H7" s="3" t="s">
        <v>79</v>
      </c>
    </row>
    <row r="8" spans="2:8" ht="13.5" customHeight="1" x14ac:dyDescent="0.2">
      <c r="B8" s="2" t="s">
        <v>80</v>
      </c>
      <c r="C8" s="4">
        <v>100</v>
      </c>
      <c r="D8" s="4">
        <v>100</v>
      </c>
      <c r="E8" s="4">
        <v>100</v>
      </c>
      <c r="F8" s="5">
        <f t="shared" ref="F8:F61" si="0">IF($C$5="Base",C8,IF($C$5="Growth",D8,E8))</f>
        <v>100</v>
      </c>
      <c r="G8" s="2" t="s">
        <v>81</v>
      </c>
      <c r="H8" s="2" t="s">
        <v>82</v>
      </c>
    </row>
    <row r="9" spans="2:8" ht="13.5" customHeight="1" x14ac:dyDescent="0.2">
      <c r="B9" s="2" t="s">
        <v>83</v>
      </c>
      <c r="C9" s="6">
        <v>7200</v>
      </c>
      <c r="D9" s="6">
        <v>7200</v>
      </c>
      <c r="E9" s="6">
        <v>7200</v>
      </c>
      <c r="F9" s="7">
        <f t="shared" si="0"/>
        <v>7200</v>
      </c>
      <c r="G9" s="2" t="s">
        <v>84</v>
      </c>
      <c r="H9" s="2" t="s">
        <v>85</v>
      </c>
    </row>
    <row r="10" spans="2:8" ht="13.5" customHeight="1" x14ac:dyDescent="0.2">
      <c r="B10" s="2" t="s">
        <v>86</v>
      </c>
      <c r="C10" s="8">
        <v>8</v>
      </c>
      <c r="D10" s="8">
        <v>9</v>
      </c>
      <c r="E10" s="8">
        <v>7</v>
      </c>
      <c r="F10" s="9">
        <f t="shared" si="0"/>
        <v>8</v>
      </c>
      <c r="G10" s="2" t="s">
        <v>87</v>
      </c>
      <c r="H10" s="2" t="s">
        <v>88</v>
      </c>
    </row>
    <row r="11" spans="2:8" ht="13.5" customHeight="1" x14ac:dyDescent="0.2">
      <c r="B11" s="2" t="s">
        <v>89</v>
      </c>
      <c r="C11" s="8">
        <v>1</v>
      </c>
      <c r="D11" s="8">
        <v>1.25</v>
      </c>
      <c r="E11" s="8">
        <v>0.5</v>
      </c>
      <c r="F11" s="9">
        <f t="shared" si="0"/>
        <v>1</v>
      </c>
      <c r="G11" s="2" t="s">
        <v>87</v>
      </c>
      <c r="H11" s="2" t="s">
        <v>90</v>
      </c>
    </row>
    <row r="12" spans="2:8" ht="13.5" customHeight="1" x14ac:dyDescent="0.2">
      <c r="B12" s="2" t="s">
        <v>91</v>
      </c>
      <c r="C12" s="6">
        <v>55</v>
      </c>
      <c r="D12" s="6">
        <v>60</v>
      </c>
      <c r="E12" s="6">
        <v>48</v>
      </c>
      <c r="F12" s="7">
        <f t="shared" si="0"/>
        <v>55</v>
      </c>
      <c r="G12" s="2" t="s">
        <v>92</v>
      </c>
      <c r="H12" s="2" t="s">
        <v>93</v>
      </c>
    </row>
    <row r="13" spans="2:8" ht="13.5" customHeight="1" x14ac:dyDescent="0.2">
      <c r="B13" s="2" t="s">
        <v>94</v>
      </c>
      <c r="C13" s="6">
        <v>66</v>
      </c>
      <c r="D13" s="6">
        <v>68</v>
      </c>
      <c r="E13" s="6">
        <v>62</v>
      </c>
      <c r="F13" s="7">
        <f t="shared" si="0"/>
        <v>66</v>
      </c>
      <c r="G13" s="2" t="s">
        <v>84</v>
      </c>
      <c r="H13" s="2" t="s">
        <v>95</v>
      </c>
    </row>
    <row r="14" spans="2:8" ht="13.5" customHeight="1" x14ac:dyDescent="0.2">
      <c r="B14" s="2" t="s">
        <v>96</v>
      </c>
      <c r="C14" s="10">
        <v>1</v>
      </c>
      <c r="D14" s="10">
        <v>1</v>
      </c>
      <c r="E14" s="10">
        <v>2</v>
      </c>
      <c r="F14" s="11">
        <f t="shared" si="0"/>
        <v>1</v>
      </c>
      <c r="G14" s="2" t="s">
        <v>97</v>
      </c>
      <c r="H14" s="2" t="s">
        <v>98</v>
      </c>
    </row>
    <row r="15" spans="2:8" ht="13.5" customHeight="1" x14ac:dyDescent="0.2">
      <c r="B15" s="2" t="s">
        <v>99</v>
      </c>
      <c r="C15" s="12">
        <v>0.99</v>
      </c>
      <c r="D15" s="12">
        <v>0.99299999999999999</v>
      </c>
      <c r="E15" s="12">
        <v>0.98499999999999999</v>
      </c>
      <c r="F15" s="13">
        <f t="shared" si="0"/>
        <v>0.99</v>
      </c>
      <c r="G15" s="2" t="s">
        <v>100</v>
      </c>
      <c r="H15" s="2" t="s">
        <v>101</v>
      </c>
    </row>
    <row r="16" spans="2:8" ht="13.5" customHeight="1" x14ac:dyDescent="0.2">
      <c r="B16" s="2" t="s">
        <v>102</v>
      </c>
      <c r="C16" s="12">
        <v>0.98799999999999999</v>
      </c>
      <c r="D16" s="12">
        <v>0.99099999999999999</v>
      </c>
      <c r="E16" s="12">
        <v>0.98</v>
      </c>
      <c r="F16" s="13">
        <f t="shared" si="0"/>
        <v>0.98799999999999999</v>
      </c>
      <c r="G16" s="2" t="s">
        <v>100</v>
      </c>
      <c r="H16" s="2" t="s">
        <v>103</v>
      </c>
    </row>
    <row r="17" spans="2:8" ht="13.5" customHeight="1" x14ac:dyDescent="0.2">
      <c r="B17" s="2" t="s">
        <v>104</v>
      </c>
      <c r="C17" s="12">
        <v>0.01</v>
      </c>
      <c r="D17" s="12">
        <v>1.4E-2</v>
      </c>
      <c r="E17" s="12">
        <v>3.0000000000000001E-3</v>
      </c>
      <c r="F17" s="13">
        <f t="shared" si="0"/>
        <v>0.01</v>
      </c>
      <c r="G17" s="2" t="s">
        <v>100</v>
      </c>
      <c r="H17" s="2" t="s">
        <v>105</v>
      </c>
    </row>
    <row r="18" spans="2:8" ht="13.5" customHeight="1" x14ac:dyDescent="0.2">
      <c r="B18" s="2" t="s">
        <v>106</v>
      </c>
      <c r="C18" s="12">
        <v>2.5000000000000001E-3</v>
      </c>
      <c r="D18" s="12">
        <v>3.0000000000000001E-3</v>
      </c>
      <c r="E18" s="12">
        <v>1E-3</v>
      </c>
      <c r="F18" s="13">
        <f t="shared" si="0"/>
        <v>2.5000000000000001E-3</v>
      </c>
      <c r="G18" s="2" t="s">
        <v>100</v>
      </c>
      <c r="H18" s="2" t="s">
        <v>107</v>
      </c>
    </row>
    <row r="19" spans="2:8" ht="13.5" customHeight="1" x14ac:dyDescent="0.2">
      <c r="B19" s="2" t="s">
        <v>108</v>
      </c>
      <c r="C19" s="14">
        <v>4</v>
      </c>
      <c r="D19" s="14">
        <v>4.2</v>
      </c>
      <c r="E19" s="14">
        <v>3.5</v>
      </c>
      <c r="F19" s="15">
        <f t="shared" si="0"/>
        <v>4</v>
      </c>
      <c r="G19" s="2" t="s">
        <v>84</v>
      </c>
      <c r="H19" s="2" t="s">
        <v>109</v>
      </c>
    </row>
    <row r="20" spans="2:8" ht="13.5" customHeight="1" x14ac:dyDescent="0.2">
      <c r="B20" s="2" t="s">
        <v>110</v>
      </c>
      <c r="C20" s="12">
        <v>0.18</v>
      </c>
      <c r="D20" s="12">
        <v>0.17499999999999999</v>
      </c>
      <c r="E20" s="12">
        <v>0.2</v>
      </c>
      <c r="F20" s="13">
        <f t="shared" si="0"/>
        <v>0.18</v>
      </c>
      <c r="G20" s="2" t="s">
        <v>111</v>
      </c>
      <c r="H20" s="2" t="s">
        <v>112</v>
      </c>
    </row>
    <row r="21" spans="2:8" ht="13.5" customHeight="1" x14ac:dyDescent="0.2">
      <c r="B21" s="2" t="s">
        <v>113</v>
      </c>
      <c r="C21" s="12">
        <v>0.45</v>
      </c>
      <c r="D21" s="12">
        <v>0.43</v>
      </c>
      <c r="E21" s="12">
        <v>0.5</v>
      </c>
      <c r="F21" s="13">
        <f t="shared" si="0"/>
        <v>0.45</v>
      </c>
      <c r="G21" s="2" t="s">
        <v>111</v>
      </c>
      <c r="H21" s="2" t="s">
        <v>114</v>
      </c>
    </row>
    <row r="22" spans="2:8" ht="13.5" customHeight="1" x14ac:dyDescent="0.2">
      <c r="B22" s="2" t="s">
        <v>115</v>
      </c>
      <c r="C22" s="8">
        <v>18</v>
      </c>
      <c r="D22" s="8">
        <v>19</v>
      </c>
      <c r="E22" s="8">
        <v>17</v>
      </c>
      <c r="F22" s="9">
        <f t="shared" si="0"/>
        <v>18</v>
      </c>
      <c r="G22" s="2" t="s">
        <v>87</v>
      </c>
      <c r="H22" s="2" t="s">
        <v>116</v>
      </c>
    </row>
    <row r="23" spans="2:8" ht="13.5" customHeight="1" x14ac:dyDescent="0.2">
      <c r="B23" s="2" t="s">
        <v>117</v>
      </c>
      <c r="C23" s="8">
        <v>1</v>
      </c>
      <c r="D23" s="8">
        <v>1.25</v>
      </c>
      <c r="E23" s="8">
        <v>0.5</v>
      </c>
      <c r="F23" s="9">
        <f t="shared" si="0"/>
        <v>1</v>
      </c>
      <c r="G23" s="2" t="s">
        <v>87</v>
      </c>
      <c r="H23" s="2" t="s">
        <v>118</v>
      </c>
    </row>
    <row r="24" spans="2:8" ht="13.5" customHeight="1" x14ac:dyDescent="0.2">
      <c r="B24" s="2" t="s">
        <v>119</v>
      </c>
      <c r="C24" s="8">
        <v>10</v>
      </c>
      <c r="D24" s="8">
        <v>11</v>
      </c>
      <c r="E24" s="8">
        <v>9</v>
      </c>
      <c r="F24" s="9">
        <f t="shared" si="0"/>
        <v>10</v>
      </c>
      <c r="G24" s="2" t="s">
        <v>87</v>
      </c>
      <c r="H24" s="2" t="s">
        <v>116</v>
      </c>
    </row>
    <row r="25" spans="2:8" ht="13.5" customHeight="1" x14ac:dyDescent="0.2">
      <c r="B25" s="2" t="s">
        <v>120</v>
      </c>
      <c r="C25" s="8">
        <v>0.5</v>
      </c>
      <c r="D25" s="8">
        <v>0.75</v>
      </c>
      <c r="E25" s="8">
        <v>0.25</v>
      </c>
      <c r="F25" s="9">
        <f t="shared" si="0"/>
        <v>0.5</v>
      </c>
      <c r="G25" s="2" t="s">
        <v>87</v>
      </c>
      <c r="H25" s="2" t="s">
        <v>118</v>
      </c>
    </row>
    <row r="26" spans="2:8" ht="13.5" customHeight="1" x14ac:dyDescent="0.2">
      <c r="B26" s="2" t="s">
        <v>121</v>
      </c>
      <c r="C26" s="8">
        <v>8</v>
      </c>
      <c r="D26" s="8">
        <v>8</v>
      </c>
      <c r="E26" s="8">
        <v>8</v>
      </c>
      <c r="F26" s="9">
        <f t="shared" si="0"/>
        <v>8</v>
      </c>
      <c r="G26" s="2" t="s">
        <v>87</v>
      </c>
      <c r="H26" s="2" t="s">
        <v>116</v>
      </c>
    </row>
    <row r="27" spans="2:8" ht="13.5" customHeight="1" x14ac:dyDescent="0.2">
      <c r="B27" s="2" t="s">
        <v>122</v>
      </c>
      <c r="C27" s="8">
        <v>0.25</v>
      </c>
      <c r="D27" s="8">
        <v>0.5</v>
      </c>
      <c r="E27" s="8">
        <v>0</v>
      </c>
      <c r="F27" s="9">
        <f t="shared" si="0"/>
        <v>0.25</v>
      </c>
      <c r="G27" s="2" t="s">
        <v>87</v>
      </c>
      <c r="H27" s="2" t="s">
        <v>118</v>
      </c>
    </row>
    <row r="28" spans="2:8" ht="13.5" customHeight="1" x14ac:dyDescent="0.2">
      <c r="B28" s="2" t="s">
        <v>123</v>
      </c>
      <c r="C28" s="8">
        <v>12</v>
      </c>
      <c r="D28" s="8">
        <v>13</v>
      </c>
      <c r="E28" s="8">
        <v>11</v>
      </c>
      <c r="F28" s="9">
        <f t="shared" si="0"/>
        <v>12</v>
      </c>
      <c r="G28" s="2" t="s">
        <v>87</v>
      </c>
      <c r="H28" s="2" t="s">
        <v>116</v>
      </c>
    </row>
    <row r="29" spans="2:8" ht="13.5" customHeight="1" x14ac:dyDescent="0.2">
      <c r="B29" s="2" t="s">
        <v>124</v>
      </c>
      <c r="C29" s="8">
        <v>0.5</v>
      </c>
      <c r="D29" s="8">
        <v>0.75</v>
      </c>
      <c r="E29" s="8">
        <v>0.25</v>
      </c>
      <c r="F29" s="9">
        <f t="shared" si="0"/>
        <v>0.5</v>
      </c>
      <c r="G29" s="2" t="s">
        <v>87</v>
      </c>
      <c r="H29" s="2" t="s">
        <v>118</v>
      </c>
    </row>
    <row r="30" spans="2:8" ht="13.5" customHeight="1" x14ac:dyDescent="0.2">
      <c r="B30" s="2" t="s">
        <v>125</v>
      </c>
      <c r="C30" s="12">
        <v>6.0000000000000001E-3</v>
      </c>
      <c r="D30" s="12">
        <v>5.0000000000000001E-3</v>
      </c>
      <c r="E30" s="12">
        <v>8.9999999999999993E-3</v>
      </c>
      <c r="F30" s="13">
        <f t="shared" si="0"/>
        <v>6.0000000000000001E-3</v>
      </c>
      <c r="G30" s="2" t="s">
        <v>100</v>
      </c>
      <c r="H30" s="2" t="s">
        <v>126</v>
      </c>
    </row>
    <row r="31" spans="2:8" ht="13.5" customHeight="1" x14ac:dyDescent="0.2">
      <c r="B31" s="2" t="s">
        <v>127</v>
      </c>
      <c r="C31" s="6">
        <v>140</v>
      </c>
      <c r="D31" s="6">
        <v>140</v>
      </c>
      <c r="E31" s="6">
        <v>140</v>
      </c>
      <c r="F31" s="7">
        <f t="shared" si="0"/>
        <v>140</v>
      </c>
      <c r="G31" s="2" t="s">
        <v>84</v>
      </c>
      <c r="H31" s="2" t="s">
        <v>128</v>
      </c>
    </row>
    <row r="32" spans="2:8" ht="13.5" customHeight="1" x14ac:dyDescent="0.2">
      <c r="B32" s="2" t="s">
        <v>129</v>
      </c>
      <c r="C32" s="6">
        <v>165</v>
      </c>
      <c r="D32" s="6">
        <v>165</v>
      </c>
      <c r="E32" s="6">
        <v>165</v>
      </c>
      <c r="F32" s="7">
        <f t="shared" si="0"/>
        <v>165</v>
      </c>
      <c r="G32" s="2" t="s">
        <v>84</v>
      </c>
      <c r="H32" s="2" t="s">
        <v>128</v>
      </c>
    </row>
    <row r="33" spans="2:8" ht="13.5" customHeight="1" x14ac:dyDescent="0.2">
      <c r="B33" s="2" t="s">
        <v>130</v>
      </c>
      <c r="C33" s="6">
        <v>145</v>
      </c>
      <c r="D33" s="6">
        <v>145</v>
      </c>
      <c r="E33" s="6">
        <v>145</v>
      </c>
      <c r="F33" s="7">
        <f t="shared" si="0"/>
        <v>145</v>
      </c>
      <c r="G33" s="2" t="s">
        <v>84</v>
      </c>
      <c r="H33" s="2" t="s">
        <v>128</v>
      </c>
    </row>
    <row r="34" spans="2:8" ht="13.5" customHeight="1" x14ac:dyDescent="0.2">
      <c r="B34" s="2" t="s">
        <v>131</v>
      </c>
      <c r="C34" s="6">
        <v>155</v>
      </c>
      <c r="D34" s="6">
        <v>155</v>
      </c>
      <c r="E34" s="6">
        <v>155</v>
      </c>
      <c r="F34" s="7">
        <f t="shared" si="0"/>
        <v>155</v>
      </c>
      <c r="G34" s="2" t="s">
        <v>84</v>
      </c>
      <c r="H34" s="2" t="s">
        <v>128</v>
      </c>
    </row>
    <row r="35" spans="2:8" ht="13.5" customHeight="1" x14ac:dyDescent="0.2">
      <c r="B35" s="2" t="s">
        <v>132</v>
      </c>
      <c r="C35" s="6">
        <v>120</v>
      </c>
      <c r="D35" s="6">
        <v>120</v>
      </c>
      <c r="E35" s="6">
        <v>120</v>
      </c>
      <c r="F35" s="7">
        <f t="shared" si="0"/>
        <v>120</v>
      </c>
      <c r="G35" s="2" t="s">
        <v>84</v>
      </c>
      <c r="H35" s="2" t="s">
        <v>128</v>
      </c>
    </row>
    <row r="36" spans="2:8" ht="13.5" customHeight="1" x14ac:dyDescent="0.2">
      <c r="B36" s="2" t="s">
        <v>133</v>
      </c>
      <c r="C36" s="6">
        <v>120</v>
      </c>
      <c r="D36" s="6">
        <v>135</v>
      </c>
      <c r="E36" s="6">
        <v>100</v>
      </c>
      <c r="F36" s="7">
        <f t="shared" si="0"/>
        <v>120</v>
      </c>
      <c r="G36" s="2" t="s">
        <v>84</v>
      </c>
      <c r="H36" s="2" t="s">
        <v>134</v>
      </c>
    </row>
    <row r="37" spans="2:8" ht="13.5" customHeight="1" x14ac:dyDescent="0.2">
      <c r="B37" s="2" t="s">
        <v>135</v>
      </c>
      <c r="C37" s="6">
        <v>160</v>
      </c>
      <c r="D37" s="6">
        <v>185</v>
      </c>
      <c r="E37" s="6">
        <v>125</v>
      </c>
      <c r="F37" s="7">
        <f t="shared" si="0"/>
        <v>160</v>
      </c>
      <c r="G37" s="2" t="s">
        <v>84</v>
      </c>
      <c r="H37" s="2" t="s">
        <v>136</v>
      </c>
    </row>
    <row r="38" spans="2:8" ht="13.5" customHeight="1" x14ac:dyDescent="0.2">
      <c r="B38" s="2" t="s">
        <v>137</v>
      </c>
      <c r="C38" s="6">
        <v>90</v>
      </c>
      <c r="D38" s="6">
        <v>95</v>
      </c>
      <c r="E38" s="6">
        <v>80</v>
      </c>
      <c r="F38" s="7">
        <f t="shared" si="0"/>
        <v>90</v>
      </c>
      <c r="G38" s="2" t="s">
        <v>84</v>
      </c>
      <c r="H38" s="2" t="s">
        <v>138</v>
      </c>
    </row>
    <row r="39" spans="2:8" ht="13.5" customHeight="1" x14ac:dyDescent="0.2">
      <c r="B39" s="2" t="s">
        <v>139</v>
      </c>
      <c r="C39" s="6">
        <v>70</v>
      </c>
      <c r="D39" s="6">
        <v>78</v>
      </c>
      <c r="E39" s="6">
        <v>60</v>
      </c>
      <c r="F39" s="7">
        <f t="shared" si="0"/>
        <v>70</v>
      </c>
      <c r="G39" s="2" t="s">
        <v>84</v>
      </c>
      <c r="H39" s="2" t="s">
        <v>140</v>
      </c>
    </row>
    <row r="40" spans="2:8" ht="13.5" customHeight="1" x14ac:dyDescent="0.2">
      <c r="B40" s="2" t="s">
        <v>141</v>
      </c>
      <c r="C40" s="16">
        <v>45</v>
      </c>
      <c r="D40" s="16">
        <v>42</v>
      </c>
      <c r="E40" s="16">
        <v>55</v>
      </c>
      <c r="F40" s="17">
        <f t="shared" si="0"/>
        <v>45</v>
      </c>
      <c r="G40" s="2" t="s">
        <v>142</v>
      </c>
      <c r="H40" s="2" t="s">
        <v>143</v>
      </c>
    </row>
    <row r="41" spans="2:8" ht="13.5" customHeight="1" x14ac:dyDescent="0.2">
      <c r="B41" s="2" t="s">
        <v>144</v>
      </c>
      <c r="C41" s="16">
        <v>30</v>
      </c>
      <c r="D41" s="16">
        <v>32</v>
      </c>
      <c r="E41" s="16">
        <v>25</v>
      </c>
      <c r="F41" s="17">
        <f t="shared" si="0"/>
        <v>30</v>
      </c>
      <c r="G41" s="2" t="s">
        <v>142</v>
      </c>
      <c r="H41" s="2" t="s">
        <v>145</v>
      </c>
    </row>
    <row r="42" spans="2:8" ht="13.5" customHeight="1" x14ac:dyDescent="0.2">
      <c r="B42" s="2" t="s">
        <v>146</v>
      </c>
      <c r="C42" s="12">
        <v>0.1</v>
      </c>
      <c r="D42" s="12">
        <v>0.105</v>
      </c>
      <c r="E42" s="12">
        <v>0.09</v>
      </c>
      <c r="F42" s="13">
        <f t="shared" si="0"/>
        <v>0.1</v>
      </c>
      <c r="G42" s="2" t="s">
        <v>100</v>
      </c>
      <c r="H42" s="2" t="s">
        <v>147</v>
      </c>
    </row>
    <row r="43" spans="2:8" ht="13.5" customHeight="1" x14ac:dyDescent="0.2">
      <c r="B43" s="2" t="s">
        <v>148</v>
      </c>
      <c r="C43" s="12">
        <v>0.05</v>
      </c>
      <c r="D43" s="12">
        <v>5.5E-2</v>
      </c>
      <c r="E43" s="12">
        <v>4.4999999999999998E-2</v>
      </c>
      <c r="F43" s="13">
        <f t="shared" si="0"/>
        <v>0.05</v>
      </c>
      <c r="G43" s="2" t="s">
        <v>100</v>
      </c>
      <c r="H43" s="2" t="s">
        <v>149</v>
      </c>
    </row>
    <row r="44" spans="2:8" ht="13.5" customHeight="1" x14ac:dyDescent="0.2">
      <c r="B44" s="2" t="s">
        <v>150</v>
      </c>
      <c r="C44" s="6">
        <v>80</v>
      </c>
      <c r="D44" s="6">
        <v>95</v>
      </c>
      <c r="E44" s="6">
        <v>55</v>
      </c>
      <c r="F44" s="7">
        <f t="shared" si="0"/>
        <v>80</v>
      </c>
      <c r="G44" s="2" t="s">
        <v>84</v>
      </c>
      <c r="H44" s="2" t="s">
        <v>151</v>
      </c>
    </row>
    <row r="45" spans="2:8" ht="13.5" customHeight="1" x14ac:dyDescent="0.2">
      <c r="B45" s="2" t="s">
        <v>152</v>
      </c>
      <c r="C45" s="10">
        <v>36</v>
      </c>
      <c r="D45" s="10">
        <v>36</v>
      </c>
      <c r="E45" s="10">
        <v>36</v>
      </c>
      <c r="F45" s="11">
        <f t="shared" si="0"/>
        <v>36</v>
      </c>
      <c r="G45" s="2" t="s">
        <v>97</v>
      </c>
      <c r="H45" s="2" t="s">
        <v>153</v>
      </c>
    </row>
    <row r="46" spans="2:8" ht="13.5" customHeight="1" x14ac:dyDescent="0.2">
      <c r="B46" s="2" t="s">
        <v>154</v>
      </c>
      <c r="C46" s="6">
        <v>50</v>
      </c>
      <c r="D46" s="6">
        <v>60</v>
      </c>
      <c r="E46" s="6">
        <v>25</v>
      </c>
      <c r="F46" s="7">
        <f t="shared" si="0"/>
        <v>50</v>
      </c>
      <c r="G46" s="2" t="s">
        <v>84</v>
      </c>
      <c r="H46" s="2" t="s">
        <v>155</v>
      </c>
    </row>
    <row r="47" spans="2:8" ht="13.5" customHeight="1" x14ac:dyDescent="0.2">
      <c r="B47" s="2" t="s">
        <v>156</v>
      </c>
      <c r="C47" s="12">
        <v>0.08</v>
      </c>
      <c r="D47" s="12">
        <v>7.4999999999999997E-2</v>
      </c>
      <c r="E47" s="12">
        <v>0.09</v>
      </c>
      <c r="F47" s="13">
        <f t="shared" si="0"/>
        <v>0.08</v>
      </c>
      <c r="G47" s="2" t="s">
        <v>100</v>
      </c>
      <c r="H47" s="2" t="s">
        <v>157</v>
      </c>
    </row>
    <row r="48" spans="2:8" ht="13.5" customHeight="1" x14ac:dyDescent="0.2">
      <c r="B48" s="2" t="s">
        <v>158</v>
      </c>
      <c r="C48" s="12">
        <v>0.21</v>
      </c>
      <c r="D48" s="12">
        <v>0.21</v>
      </c>
      <c r="E48" s="12">
        <v>0.21</v>
      </c>
      <c r="F48" s="13">
        <f t="shared" si="0"/>
        <v>0.21</v>
      </c>
      <c r="G48" s="2" t="s">
        <v>100</v>
      </c>
      <c r="H48" s="2" t="s">
        <v>159</v>
      </c>
    </row>
    <row r="49" spans="2:8" ht="13.5" customHeight="1" x14ac:dyDescent="0.2">
      <c r="B49" s="2" t="s">
        <v>160</v>
      </c>
      <c r="C49" s="6">
        <v>0</v>
      </c>
      <c r="D49" s="6">
        <v>0</v>
      </c>
      <c r="E49" s="6">
        <v>0</v>
      </c>
      <c r="F49" s="7">
        <f t="shared" si="0"/>
        <v>0</v>
      </c>
      <c r="G49" s="2" t="s">
        <v>84</v>
      </c>
      <c r="H49" s="2" t="s">
        <v>161</v>
      </c>
    </row>
    <row r="50" spans="2:8" ht="13.5" customHeight="1" x14ac:dyDescent="0.2">
      <c r="B50" s="2" t="s">
        <v>162</v>
      </c>
      <c r="C50" s="6">
        <v>0</v>
      </c>
      <c r="D50" s="6">
        <v>0</v>
      </c>
      <c r="E50" s="6">
        <v>0</v>
      </c>
      <c r="F50" s="7">
        <f t="shared" si="0"/>
        <v>0</v>
      </c>
      <c r="G50" s="2" t="s">
        <v>84</v>
      </c>
      <c r="H50" s="2" t="s">
        <v>163</v>
      </c>
    </row>
    <row r="51" spans="2:8" ht="13.5" customHeight="1" x14ac:dyDescent="0.2">
      <c r="B51" s="2" t="s">
        <v>164</v>
      </c>
      <c r="C51" s="6">
        <v>5000</v>
      </c>
      <c r="D51" s="6">
        <v>5000</v>
      </c>
      <c r="E51" s="6">
        <v>5000</v>
      </c>
      <c r="F51" s="7">
        <f t="shared" si="0"/>
        <v>5000</v>
      </c>
      <c r="G51" s="2" t="s">
        <v>84</v>
      </c>
      <c r="H51" s="2" t="s">
        <v>165</v>
      </c>
    </row>
    <row r="52" spans="2:8" ht="13.5" customHeight="1" x14ac:dyDescent="0.2">
      <c r="B52" s="2" t="s">
        <v>166</v>
      </c>
      <c r="C52" s="6">
        <v>800</v>
      </c>
      <c r="D52" s="6">
        <v>800</v>
      </c>
      <c r="E52" s="6">
        <v>800</v>
      </c>
      <c r="F52" s="7">
        <f t="shared" si="0"/>
        <v>800</v>
      </c>
      <c r="G52" s="2" t="s">
        <v>84</v>
      </c>
      <c r="H52" s="2" t="s">
        <v>165</v>
      </c>
    </row>
    <row r="53" spans="2:8" ht="13.5" customHeight="1" x14ac:dyDescent="0.2">
      <c r="B53" s="2" t="s">
        <v>167</v>
      </c>
      <c r="C53" s="6">
        <v>120</v>
      </c>
      <c r="D53" s="6">
        <v>120</v>
      </c>
      <c r="E53" s="6">
        <v>120</v>
      </c>
      <c r="F53" s="7">
        <f t="shared" si="0"/>
        <v>120</v>
      </c>
      <c r="G53" s="2" t="s">
        <v>84</v>
      </c>
      <c r="H53" s="2" t="s">
        <v>165</v>
      </c>
    </row>
    <row r="54" spans="2:8" ht="13.5" customHeight="1" x14ac:dyDescent="0.2">
      <c r="B54" s="2" t="s">
        <v>168</v>
      </c>
      <c r="C54" s="6">
        <v>1200</v>
      </c>
      <c r="D54" s="6">
        <v>1200</v>
      </c>
      <c r="E54" s="6">
        <v>1200</v>
      </c>
      <c r="F54" s="7">
        <f t="shared" si="0"/>
        <v>1200</v>
      </c>
      <c r="G54" s="2" t="s">
        <v>84</v>
      </c>
      <c r="H54" s="2" t="s">
        <v>165</v>
      </c>
    </row>
    <row r="55" spans="2:8" ht="13.5" customHeight="1" x14ac:dyDescent="0.2">
      <c r="B55" s="2" t="s">
        <v>169</v>
      </c>
      <c r="C55" s="6">
        <v>300</v>
      </c>
      <c r="D55" s="6">
        <v>300</v>
      </c>
      <c r="E55" s="6">
        <v>300</v>
      </c>
      <c r="F55" s="7">
        <f t="shared" si="0"/>
        <v>300</v>
      </c>
      <c r="G55" s="2" t="s">
        <v>84</v>
      </c>
      <c r="H55" s="2" t="s">
        <v>170</v>
      </c>
    </row>
    <row r="56" spans="2:8" ht="13.5" customHeight="1" x14ac:dyDescent="0.2">
      <c r="B56" s="2" t="s">
        <v>171</v>
      </c>
      <c r="C56" s="6">
        <v>250</v>
      </c>
      <c r="D56" s="6">
        <v>250</v>
      </c>
      <c r="E56" s="6">
        <v>250</v>
      </c>
      <c r="F56" s="7">
        <f t="shared" si="0"/>
        <v>250</v>
      </c>
      <c r="G56" s="2" t="s">
        <v>84</v>
      </c>
      <c r="H56" s="2" t="s">
        <v>165</v>
      </c>
    </row>
    <row r="57" spans="2:8" ht="13.5" customHeight="1" x14ac:dyDescent="0.2">
      <c r="B57" s="2" t="s">
        <v>172</v>
      </c>
      <c r="C57" s="6">
        <v>200</v>
      </c>
      <c r="D57" s="6">
        <v>200</v>
      </c>
      <c r="E57" s="6">
        <v>200</v>
      </c>
      <c r="F57" s="7">
        <f t="shared" si="0"/>
        <v>200</v>
      </c>
      <c r="G57" s="2" t="s">
        <v>84</v>
      </c>
      <c r="H57" s="2" t="s">
        <v>165</v>
      </c>
    </row>
    <row r="58" spans="2:8" ht="13.5" customHeight="1" x14ac:dyDescent="0.2">
      <c r="B58" s="2" t="s">
        <v>173</v>
      </c>
      <c r="C58" s="6">
        <v>600</v>
      </c>
      <c r="D58" s="6">
        <v>600</v>
      </c>
      <c r="E58" s="6">
        <v>600</v>
      </c>
      <c r="F58" s="7">
        <f t="shared" si="0"/>
        <v>600</v>
      </c>
      <c r="G58" s="2" t="s">
        <v>84</v>
      </c>
      <c r="H58" s="2" t="s">
        <v>165</v>
      </c>
    </row>
    <row r="59" spans="2:8" ht="13.5" customHeight="1" x14ac:dyDescent="0.2">
      <c r="B59" s="2" t="s">
        <v>174</v>
      </c>
      <c r="C59" s="6">
        <v>1500</v>
      </c>
      <c r="D59" s="6">
        <v>1500</v>
      </c>
      <c r="E59" s="6">
        <v>1500</v>
      </c>
      <c r="F59" s="7">
        <f t="shared" si="0"/>
        <v>1500</v>
      </c>
      <c r="G59" s="2" t="s">
        <v>84</v>
      </c>
      <c r="H59" s="2" t="s">
        <v>165</v>
      </c>
    </row>
    <row r="60" spans="2:8" ht="13.5" customHeight="1" x14ac:dyDescent="0.2">
      <c r="B60" s="2" t="s">
        <v>175</v>
      </c>
      <c r="C60" s="6">
        <v>2000</v>
      </c>
      <c r="D60" s="6">
        <v>2000</v>
      </c>
      <c r="E60" s="6">
        <v>2000</v>
      </c>
      <c r="F60" s="7">
        <f t="shared" si="0"/>
        <v>2000</v>
      </c>
      <c r="G60" s="2" t="s">
        <v>84</v>
      </c>
      <c r="H60" s="2" t="s">
        <v>165</v>
      </c>
    </row>
    <row r="61" spans="2:8" ht="13.5" customHeight="1" x14ac:dyDescent="0.2">
      <c r="B61" s="2" t="s">
        <v>176</v>
      </c>
      <c r="C61" s="6">
        <v>2270</v>
      </c>
      <c r="D61" s="6">
        <v>2270</v>
      </c>
      <c r="E61" s="6">
        <v>2270</v>
      </c>
      <c r="F61" s="7">
        <f t="shared" si="0"/>
        <v>2270</v>
      </c>
      <c r="G61" s="2" t="s">
        <v>84</v>
      </c>
      <c r="H61" s="2" t="s">
        <v>177</v>
      </c>
    </row>
    <row r="62" spans="2:8" ht="13.5" customHeight="1" x14ac:dyDescent="0.2">
      <c r="B62" s="52"/>
      <c r="C62" s="52"/>
      <c r="D62" s="52"/>
      <c r="E62" s="52"/>
      <c r="F62" s="52"/>
      <c r="G62" s="52"/>
      <c r="H62" s="52"/>
    </row>
    <row r="63" spans="2:8" ht="13.5" customHeight="1" x14ac:dyDescent="0.2">
      <c r="B63" s="66" t="s">
        <v>178</v>
      </c>
      <c r="C63" s="67"/>
      <c r="D63" s="67"/>
      <c r="E63" s="67"/>
      <c r="F63" s="67"/>
      <c r="G63" s="67"/>
      <c r="H63" s="68"/>
    </row>
    <row r="64" spans="2:8" ht="13.5" customHeight="1" x14ac:dyDescent="0.2">
      <c r="B64" s="52" t="s">
        <v>179</v>
      </c>
      <c r="C64" s="52"/>
      <c r="D64" s="52"/>
      <c r="E64" s="52"/>
      <c r="F64" s="54">
        <f>F51+F52+F53+(F54-F55)-(F56+F57+F58+F59+F60+F61)</f>
        <v>0</v>
      </c>
      <c r="G64" s="52" t="s">
        <v>84</v>
      </c>
      <c r="H64" s="52" t="s">
        <v>180</v>
      </c>
    </row>
    <row r="65" spans="2:8" ht="13.5" customHeight="1" x14ac:dyDescent="0.2">
      <c r="B65" s="52"/>
      <c r="C65" s="52"/>
      <c r="D65" s="52"/>
      <c r="E65" s="52"/>
      <c r="F65" s="52"/>
      <c r="G65" s="52"/>
      <c r="H65" s="52"/>
    </row>
    <row r="66" spans="2:8" ht="13.5" customHeight="1" x14ac:dyDescent="0.2"/>
    <row r="67" spans="2:8" ht="13.5" customHeight="1" x14ac:dyDescent="0.2"/>
    <row r="68" spans="2:8" ht="13.5" customHeight="1" x14ac:dyDescent="0.2"/>
    <row r="69" spans="2:8" ht="13.5" customHeight="1" x14ac:dyDescent="0.2"/>
    <row r="70" spans="2:8" ht="13.5" customHeight="1" x14ac:dyDescent="0.2"/>
    <row r="71" spans="2:8" ht="13.5" customHeight="1" x14ac:dyDescent="0.2"/>
    <row r="72" spans="2:8" ht="13.5" customHeight="1" x14ac:dyDescent="0.2"/>
    <row r="73" spans="2:8" ht="13.5" customHeight="1" x14ac:dyDescent="0.2"/>
    <row r="74" spans="2:8" ht="13.5" customHeight="1" x14ac:dyDescent="0.2"/>
    <row r="75" spans="2:8" ht="13.5" customHeight="1" x14ac:dyDescent="0.2"/>
    <row r="76" spans="2:8" ht="13.5" customHeight="1" x14ac:dyDescent="0.2"/>
    <row r="77" spans="2:8" ht="13.5" customHeight="1" x14ac:dyDescent="0.2"/>
    <row r="78" spans="2:8" ht="13.5" customHeight="1" x14ac:dyDescent="0.2"/>
    <row r="79" spans="2:8" ht="13.5" customHeight="1" x14ac:dyDescent="0.2"/>
    <row r="80" spans="2:8" ht="13.5" customHeight="1" x14ac:dyDescent="0.2"/>
    <row r="81" s="51" customFormat="1" ht="13.5" customHeight="1" x14ac:dyDescent="0.2"/>
    <row r="82" s="51" customFormat="1" ht="13.5" customHeight="1" x14ac:dyDescent="0.2"/>
    <row r="83" s="51" customFormat="1" ht="13.5" customHeight="1" x14ac:dyDescent="0.2"/>
    <row r="84" s="51" customFormat="1" ht="13.5" customHeight="1" x14ac:dyDescent="0.2"/>
    <row r="85" s="51" customFormat="1" ht="13.5" customHeight="1" x14ac:dyDescent="0.2"/>
    <row r="86" s="51" customFormat="1" ht="13.5" customHeight="1" x14ac:dyDescent="0.2"/>
    <row r="87" s="51" customFormat="1" ht="13.5" customHeight="1" x14ac:dyDescent="0.2"/>
    <row r="88" s="51" customFormat="1" ht="13.5" customHeight="1" x14ac:dyDescent="0.2"/>
    <row r="89" s="51" customFormat="1" ht="13.5" customHeight="1" x14ac:dyDescent="0.2"/>
    <row r="90" s="51" customFormat="1" ht="13.5" customHeight="1" x14ac:dyDescent="0.2"/>
    <row r="91" s="51" customFormat="1" ht="13.5" customHeight="1" x14ac:dyDescent="0.2"/>
    <row r="92" s="51" customFormat="1" ht="13.5" customHeight="1" x14ac:dyDescent="0.2"/>
    <row r="93" s="51" customFormat="1" ht="13.5" customHeight="1" x14ac:dyDescent="0.2"/>
    <row r="94" s="51" customFormat="1" ht="13.5" customHeight="1" x14ac:dyDescent="0.2"/>
    <row r="95" s="51" customFormat="1" ht="13.5" customHeight="1" x14ac:dyDescent="0.2"/>
    <row r="96" s="51" customFormat="1" ht="13.5" customHeight="1" x14ac:dyDescent="0.2"/>
    <row r="97" s="51" customFormat="1" ht="13.5" customHeight="1" x14ac:dyDescent="0.2"/>
    <row r="98" s="51" customFormat="1" ht="13.5" customHeight="1" x14ac:dyDescent="0.2"/>
    <row r="99" s="51" customFormat="1" ht="13.5" customHeight="1" x14ac:dyDescent="0.2"/>
    <row r="100" s="51" customFormat="1" ht="13.5" customHeight="1" x14ac:dyDescent="0.2"/>
    <row r="101" s="51" customFormat="1" ht="13.5" customHeight="1" x14ac:dyDescent="0.2"/>
    <row r="102" s="51" customFormat="1" ht="13.5" customHeight="1" x14ac:dyDescent="0.2"/>
    <row r="103" s="51" customFormat="1" ht="13.5" customHeight="1" x14ac:dyDescent="0.2"/>
    <row r="104" s="51" customFormat="1" ht="13.5" customHeight="1" x14ac:dyDescent="0.2"/>
    <row r="105" s="51" customFormat="1" ht="13.5" customHeight="1" x14ac:dyDescent="0.2"/>
    <row r="106" s="51" customFormat="1" ht="13.5" customHeight="1" x14ac:dyDescent="0.2"/>
    <row r="107" s="51" customFormat="1" ht="13.5" customHeight="1" x14ac:dyDescent="0.2"/>
    <row r="108" s="51" customFormat="1" ht="13.5" customHeight="1" x14ac:dyDescent="0.2"/>
    <row r="109" s="51" customFormat="1" ht="13.5" customHeight="1" x14ac:dyDescent="0.2"/>
    <row r="110" s="51" customFormat="1" ht="13.5" customHeight="1" x14ac:dyDescent="0.2"/>
    <row r="111" s="51" customFormat="1" ht="13.5" customHeight="1" x14ac:dyDescent="0.2"/>
    <row r="112" s="51" customFormat="1" ht="13.5" customHeight="1" x14ac:dyDescent="0.2"/>
    <row r="113" s="51" customFormat="1" ht="13.5" customHeight="1" x14ac:dyDescent="0.2"/>
    <row r="114" s="51" customFormat="1" ht="13.5" customHeight="1" x14ac:dyDescent="0.2"/>
    <row r="115" s="51" customFormat="1" ht="13.5" customHeight="1" x14ac:dyDescent="0.2"/>
    <row r="116" s="51" customFormat="1" ht="13.5" customHeight="1" x14ac:dyDescent="0.2"/>
    <row r="117" s="51" customFormat="1" ht="13.5" customHeight="1" x14ac:dyDescent="0.2"/>
    <row r="118" s="51" customFormat="1" ht="13.5" customHeight="1" x14ac:dyDescent="0.2"/>
    <row r="119" s="51" customFormat="1" ht="13.5" customHeight="1" x14ac:dyDescent="0.2"/>
    <row r="120" s="51" customFormat="1" ht="13.5" customHeight="1" x14ac:dyDescent="0.2"/>
    <row r="121" s="51" customFormat="1" ht="13.5" customHeight="1" x14ac:dyDescent="0.2"/>
    <row r="122" s="51" customFormat="1" ht="13.5" customHeight="1" x14ac:dyDescent="0.2"/>
    <row r="123" s="51" customFormat="1" ht="13.5" customHeight="1" x14ac:dyDescent="0.2"/>
    <row r="124" s="51" customFormat="1" ht="13.5" customHeight="1" x14ac:dyDescent="0.2"/>
    <row r="125" s="51" customFormat="1" ht="13.5" customHeight="1" x14ac:dyDescent="0.2"/>
    <row r="126" s="51" customFormat="1" ht="13.5" customHeight="1" x14ac:dyDescent="0.2"/>
    <row r="127" s="51" customFormat="1" ht="13.5" customHeight="1" x14ac:dyDescent="0.2"/>
    <row r="128" s="51" customFormat="1" ht="13.5" customHeight="1" x14ac:dyDescent="0.2"/>
    <row r="129" s="51" customFormat="1" ht="13.5" customHeight="1" x14ac:dyDescent="0.2"/>
    <row r="130" s="51" customFormat="1" ht="13.5" customHeight="1" x14ac:dyDescent="0.2"/>
    <row r="131" s="51" customFormat="1" ht="13.5" customHeight="1" x14ac:dyDescent="0.2"/>
    <row r="132" s="51" customFormat="1" ht="13.5" customHeight="1" x14ac:dyDescent="0.2"/>
    <row r="133" s="51" customFormat="1" ht="13.5" customHeight="1" x14ac:dyDescent="0.2"/>
    <row r="134" s="51" customFormat="1" ht="13.5" customHeight="1" x14ac:dyDescent="0.2"/>
    <row r="135" s="51" customFormat="1" ht="13.5" customHeight="1" x14ac:dyDescent="0.2"/>
    <row r="136" s="51" customFormat="1" ht="13.5" customHeight="1" x14ac:dyDescent="0.2"/>
    <row r="137" s="51" customFormat="1" ht="13.5" customHeight="1" x14ac:dyDescent="0.2"/>
    <row r="138" s="51" customFormat="1" ht="13.5" customHeight="1" x14ac:dyDescent="0.2"/>
    <row r="139" s="51" customFormat="1" ht="13.5" customHeight="1" x14ac:dyDescent="0.2"/>
    <row r="140" s="51" customFormat="1" ht="13.5" customHeight="1" x14ac:dyDescent="0.2"/>
    <row r="141" s="51" customFormat="1" ht="13.5" customHeight="1" x14ac:dyDescent="0.2"/>
    <row r="142" s="51" customFormat="1" ht="13.5" customHeight="1" x14ac:dyDescent="0.2"/>
    <row r="143" s="51" customFormat="1" ht="13.5" customHeight="1" x14ac:dyDescent="0.2"/>
    <row r="144" s="51" customFormat="1" ht="13.5" customHeight="1" x14ac:dyDescent="0.2"/>
    <row r="145" s="51" customFormat="1" ht="13.5" customHeight="1" x14ac:dyDescent="0.2"/>
    <row r="146" s="51" customFormat="1" ht="13.5" customHeight="1" x14ac:dyDescent="0.2"/>
    <row r="147" s="51" customFormat="1" ht="13.5" customHeight="1" x14ac:dyDescent="0.2"/>
    <row r="148" s="51" customFormat="1" ht="13.5" customHeight="1" x14ac:dyDescent="0.2"/>
    <row r="149" s="51" customFormat="1" ht="13.5" customHeight="1" x14ac:dyDescent="0.2"/>
    <row r="150" s="51" customFormat="1" ht="13.5" customHeight="1" x14ac:dyDescent="0.2"/>
    <row r="151" s="51" customFormat="1" ht="13.5" customHeight="1" x14ac:dyDescent="0.2"/>
    <row r="152" s="51" customFormat="1" ht="13.5" customHeight="1" x14ac:dyDescent="0.2"/>
    <row r="153" s="51" customFormat="1" ht="13.5" customHeight="1" x14ac:dyDescent="0.2"/>
    <row r="154" s="51" customFormat="1" ht="13.5" customHeight="1" x14ac:dyDescent="0.2"/>
    <row r="155" s="51" customFormat="1" ht="13.5" customHeight="1" x14ac:dyDescent="0.2"/>
    <row r="156" s="51" customFormat="1" ht="13.5" customHeight="1" x14ac:dyDescent="0.2"/>
    <row r="157" s="51" customFormat="1" ht="13.5" customHeight="1" x14ac:dyDescent="0.2"/>
    <row r="158" s="51" customFormat="1" ht="13.5" customHeight="1" x14ac:dyDescent="0.2"/>
    <row r="159" s="51" customFormat="1" ht="13.5" customHeight="1" x14ac:dyDescent="0.2"/>
    <row r="160" s="51" customFormat="1" ht="13.5" customHeight="1" x14ac:dyDescent="0.2"/>
    <row r="161" s="51" customFormat="1" ht="13.5" customHeight="1" x14ac:dyDescent="0.2"/>
    <row r="162" s="51" customFormat="1" ht="13.5" customHeight="1" x14ac:dyDescent="0.2"/>
    <row r="163" s="51" customFormat="1" ht="13.5" customHeight="1" x14ac:dyDescent="0.2"/>
    <row r="164" s="51" customFormat="1" ht="13.5" customHeight="1" x14ac:dyDescent="0.2"/>
    <row r="165" s="51" customFormat="1" ht="13.5" customHeight="1" x14ac:dyDescent="0.2"/>
    <row r="166" s="51" customFormat="1" ht="13.5" customHeight="1" x14ac:dyDescent="0.2"/>
    <row r="167" s="51" customFormat="1" ht="13.5" customHeight="1" x14ac:dyDescent="0.2"/>
    <row r="168" s="51" customFormat="1" ht="13.5" customHeight="1" x14ac:dyDescent="0.2"/>
    <row r="169" s="51" customFormat="1" ht="13.5" customHeight="1" x14ac:dyDescent="0.2"/>
    <row r="170" s="51" customFormat="1" ht="13.5" customHeight="1" x14ac:dyDescent="0.2"/>
    <row r="171" s="51" customFormat="1" ht="13.5" customHeight="1" x14ac:dyDescent="0.2"/>
    <row r="172" s="51" customFormat="1" ht="13.5" customHeight="1" x14ac:dyDescent="0.2"/>
    <row r="173" s="51" customFormat="1" ht="13.5" customHeight="1" x14ac:dyDescent="0.2"/>
    <row r="174" s="51" customFormat="1" ht="13.5" customHeight="1" x14ac:dyDescent="0.2"/>
    <row r="175" s="51" customFormat="1" ht="13.5" customHeight="1" x14ac:dyDescent="0.2"/>
    <row r="176" s="51" customFormat="1" ht="13.5" customHeight="1" x14ac:dyDescent="0.2"/>
    <row r="177" s="51" customFormat="1" ht="13.5" customHeight="1" x14ac:dyDescent="0.2"/>
    <row r="178" s="51" customFormat="1" ht="13.5" customHeight="1" x14ac:dyDescent="0.2"/>
    <row r="179" s="51" customFormat="1" ht="13.5" customHeight="1" x14ac:dyDescent="0.2"/>
    <row r="180" s="51" customFormat="1" ht="13.5" customHeight="1" x14ac:dyDescent="0.2"/>
    <row r="181" s="51" customFormat="1" ht="13.5" customHeight="1" x14ac:dyDescent="0.2"/>
    <row r="182" s="51" customFormat="1" ht="13.5" customHeight="1" x14ac:dyDescent="0.2"/>
    <row r="183" s="51" customFormat="1" ht="13.5" customHeight="1" x14ac:dyDescent="0.2"/>
    <row r="184" s="51" customFormat="1" ht="13.5" customHeight="1" x14ac:dyDescent="0.2"/>
    <row r="185" s="51" customFormat="1" ht="13.5" customHeight="1" x14ac:dyDescent="0.2"/>
    <row r="186" s="51" customFormat="1" ht="13.5" customHeight="1" x14ac:dyDescent="0.2"/>
    <row r="187" s="51" customFormat="1" ht="13.5" customHeight="1" x14ac:dyDescent="0.2"/>
    <row r="188" s="51" customFormat="1" ht="13.5" customHeight="1" x14ac:dyDescent="0.2"/>
    <row r="189" s="51" customFormat="1" ht="13.5" customHeight="1" x14ac:dyDescent="0.2"/>
    <row r="190" s="51" customFormat="1" ht="13.5" customHeight="1" x14ac:dyDescent="0.2"/>
    <row r="191" s="51" customFormat="1" ht="13.5" customHeight="1" x14ac:dyDescent="0.2"/>
    <row r="192" s="51" customFormat="1" ht="13.5" customHeight="1" x14ac:dyDescent="0.2"/>
    <row r="193" s="51" customFormat="1" ht="13.5" customHeight="1" x14ac:dyDescent="0.2"/>
    <row r="194" s="51" customFormat="1" ht="13.5" customHeight="1" x14ac:dyDescent="0.2"/>
    <row r="195" s="51" customFormat="1" ht="13.5" customHeight="1" x14ac:dyDescent="0.2"/>
    <row r="196" s="51" customFormat="1" ht="13.5" customHeight="1" x14ac:dyDescent="0.2"/>
    <row r="197" s="51" customFormat="1" ht="13.5" customHeight="1" x14ac:dyDescent="0.2"/>
    <row r="198" s="51" customFormat="1" ht="13.5" customHeight="1" x14ac:dyDescent="0.2"/>
    <row r="199" s="51" customFormat="1" ht="13.5" customHeight="1" x14ac:dyDescent="0.2"/>
    <row r="200" s="51" customFormat="1" ht="13.5" customHeight="1" x14ac:dyDescent="0.2"/>
    <row r="201" s="51" customFormat="1" ht="13.5" customHeight="1" x14ac:dyDescent="0.2"/>
    <row r="202" s="51" customFormat="1" ht="13.5" customHeight="1" x14ac:dyDescent="0.2"/>
    <row r="203" s="51" customFormat="1" ht="13.5" customHeight="1" x14ac:dyDescent="0.2"/>
    <row r="204" s="51" customFormat="1" ht="13.5" customHeight="1" x14ac:dyDescent="0.2"/>
    <row r="205" s="51" customFormat="1" ht="13.5" customHeight="1" x14ac:dyDescent="0.2"/>
    <row r="206" s="51" customFormat="1" ht="13.5" customHeight="1" x14ac:dyDescent="0.2"/>
    <row r="207" s="51" customFormat="1" ht="13.5" customHeight="1" x14ac:dyDescent="0.2"/>
    <row r="208" s="51" customFormat="1" ht="13.5" customHeight="1" x14ac:dyDescent="0.2"/>
    <row r="209" s="51" customFormat="1" ht="13.5" customHeight="1" x14ac:dyDescent="0.2"/>
    <row r="210" s="51" customFormat="1" ht="13.5" customHeight="1" x14ac:dyDescent="0.2"/>
    <row r="211" s="51" customFormat="1" ht="13.5" customHeight="1" x14ac:dyDescent="0.2"/>
    <row r="212" s="51" customFormat="1" ht="13.5" customHeight="1" x14ac:dyDescent="0.2"/>
    <row r="213" s="51" customFormat="1" ht="13.5" customHeight="1" x14ac:dyDescent="0.2"/>
    <row r="214" s="51" customFormat="1" ht="13.5" customHeight="1" x14ac:dyDescent="0.2"/>
    <row r="215" s="51" customFormat="1" ht="13.5" customHeight="1" x14ac:dyDescent="0.2"/>
    <row r="216" s="51" customFormat="1" ht="13.5" customHeight="1" x14ac:dyDescent="0.2"/>
    <row r="217" s="51" customFormat="1" ht="13.5" customHeight="1" x14ac:dyDescent="0.2"/>
    <row r="218" s="51" customFormat="1" ht="13.5" customHeight="1" x14ac:dyDescent="0.2"/>
    <row r="219" s="51" customFormat="1" ht="13.5" customHeight="1" x14ac:dyDescent="0.2"/>
    <row r="220" s="51" customFormat="1" ht="13.5" customHeight="1" x14ac:dyDescent="0.2"/>
    <row r="221" s="51" customFormat="1" ht="13.5" customHeight="1" x14ac:dyDescent="0.2"/>
    <row r="222" s="51" customFormat="1" ht="13.5" customHeight="1" x14ac:dyDescent="0.2"/>
    <row r="223" s="51" customFormat="1" ht="13.5" customHeight="1" x14ac:dyDescent="0.2"/>
    <row r="224" s="51" customFormat="1" ht="13.5" customHeight="1" x14ac:dyDescent="0.2"/>
    <row r="225" s="51" customFormat="1" ht="13.5" customHeight="1" x14ac:dyDescent="0.2"/>
    <row r="226" s="51" customFormat="1" ht="13.5" customHeight="1" x14ac:dyDescent="0.2"/>
    <row r="227" s="51" customFormat="1" ht="13.5" customHeight="1" x14ac:dyDescent="0.2"/>
    <row r="228" s="51" customFormat="1" ht="13.5" customHeight="1" x14ac:dyDescent="0.2"/>
    <row r="229" s="51" customFormat="1" ht="13.5" customHeight="1" x14ac:dyDescent="0.2"/>
    <row r="230" s="51" customFormat="1" ht="13.5" customHeight="1" x14ac:dyDescent="0.2"/>
    <row r="231" s="51" customFormat="1" ht="13.5" customHeight="1" x14ac:dyDescent="0.2"/>
    <row r="232" s="51" customFormat="1" ht="13.5" customHeight="1" x14ac:dyDescent="0.2"/>
    <row r="233" s="51" customFormat="1" ht="13.5" customHeight="1" x14ac:dyDescent="0.2"/>
    <row r="234" s="51" customFormat="1" ht="13.5" customHeight="1" x14ac:dyDescent="0.2"/>
    <row r="235" s="51" customFormat="1" ht="13.5" customHeight="1" x14ac:dyDescent="0.2"/>
    <row r="236" s="51" customFormat="1" ht="13.5" customHeight="1" x14ac:dyDescent="0.2"/>
    <row r="237" s="51" customFormat="1" ht="13.5" customHeight="1" x14ac:dyDescent="0.2"/>
    <row r="238" s="51" customFormat="1" ht="13.5" customHeight="1" x14ac:dyDescent="0.2"/>
    <row r="239" s="51" customFormat="1" ht="13.5" customHeight="1" x14ac:dyDescent="0.2"/>
    <row r="240" s="51" customFormat="1" ht="13.5" customHeight="1" x14ac:dyDescent="0.2"/>
    <row r="241" s="51" customFormat="1" ht="13.5" customHeight="1" x14ac:dyDescent="0.2"/>
    <row r="242" s="51" customFormat="1" ht="13.5" customHeight="1" x14ac:dyDescent="0.2"/>
    <row r="243" s="51" customFormat="1" ht="13.5" customHeight="1" x14ac:dyDescent="0.2"/>
    <row r="244" s="51" customFormat="1" ht="13.5" customHeight="1" x14ac:dyDescent="0.2"/>
    <row r="245" s="51" customFormat="1" ht="13.5" customHeight="1" x14ac:dyDescent="0.2"/>
    <row r="246" s="51" customFormat="1" ht="13.5" customHeight="1" x14ac:dyDescent="0.2"/>
    <row r="247" s="51" customFormat="1" ht="13.5" customHeight="1" x14ac:dyDescent="0.2"/>
    <row r="248" s="51" customFormat="1" ht="13.5" customHeight="1" x14ac:dyDescent="0.2"/>
    <row r="249" s="51" customFormat="1" ht="13.5" customHeight="1" x14ac:dyDescent="0.2"/>
    <row r="250" s="51" customFormat="1" ht="13.5" customHeight="1" x14ac:dyDescent="0.2"/>
    <row r="251" s="51" customFormat="1" ht="13.5" customHeight="1" x14ac:dyDescent="0.2"/>
    <row r="252" s="51" customFormat="1" ht="13.5" customHeight="1" x14ac:dyDescent="0.2"/>
    <row r="253" s="51" customFormat="1" ht="13.5" customHeight="1" x14ac:dyDescent="0.2"/>
    <row r="254" s="51" customFormat="1" ht="13.5" customHeight="1" x14ac:dyDescent="0.2"/>
    <row r="255" s="51" customFormat="1" ht="13.5" customHeight="1" x14ac:dyDescent="0.2"/>
    <row r="256" s="51" customFormat="1" ht="13.5" customHeight="1" x14ac:dyDescent="0.2"/>
    <row r="257" s="51" customFormat="1" ht="13.5" customHeight="1" x14ac:dyDescent="0.2"/>
    <row r="258" s="51" customFormat="1" ht="13.5" customHeight="1" x14ac:dyDescent="0.2"/>
    <row r="259" s="51" customFormat="1" ht="13.5" customHeight="1" x14ac:dyDescent="0.2"/>
    <row r="260" s="51" customFormat="1" ht="13.5" customHeight="1" x14ac:dyDescent="0.2"/>
    <row r="261" s="51" customFormat="1" ht="13.5" customHeight="1" x14ac:dyDescent="0.2"/>
    <row r="262" s="51" customFormat="1" ht="13.5" customHeight="1" x14ac:dyDescent="0.2"/>
    <row r="263" s="51" customFormat="1" ht="13.5" customHeight="1" x14ac:dyDescent="0.2"/>
    <row r="264" s="51" customFormat="1" ht="13.5" customHeight="1" x14ac:dyDescent="0.2"/>
    <row r="265" s="51" customFormat="1" ht="13.5" customHeight="1" x14ac:dyDescent="0.2"/>
    <row r="266" s="51" customFormat="1" ht="13.5" customHeight="1" x14ac:dyDescent="0.2"/>
    <row r="267" s="51" customFormat="1" ht="13.5" customHeight="1" x14ac:dyDescent="0.2"/>
    <row r="268" s="51" customFormat="1" ht="13.5" customHeight="1" x14ac:dyDescent="0.2"/>
    <row r="269" s="51" customFormat="1" ht="13.5" customHeight="1" x14ac:dyDescent="0.2"/>
    <row r="270" s="51" customFormat="1" ht="13.5" customHeight="1" x14ac:dyDescent="0.2"/>
    <row r="271" s="51" customFormat="1" ht="13.5" customHeight="1" x14ac:dyDescent="0.2"/>
    <row r="272" s="51" customFormat="1" ht="13.5" customHeight="1" x14ac:dyDescent="0.2"/>
    <row r="273" s="51" customFormat="1" ht="13.5" customHeight="1" x14ac:dyDescent="0.2"/>
    <row r="274" s="51" customFormat="1" ht="13.5" customHeight="1" x14ac:dyDescent="0.2"/>
    <row r="275" s="51" customFormat="1" ht="13.5" customHeight="1" x14ac:dyDescent="0.2"/>
    <row r="276" s="51" customFormat="1" ht="13.5" customHeight="1" x14ac:dyDescent="0.2"/>
    <row r="277" s="51" customFormat="1" ht="13.5" customHeight="1" x14ac:dyDescent="0.2"/>
    <row r="278" s="51" customFormat="1" ht="13.5" customHeight="1" x14ac:dyDescent="0.2"/>
    <row r="279" s="51" customFormat="1" ht="13.5" customHeight="1" x14ac:dyDescent="0.2"/>
    <row r="280" s="51" customFormat="1" ht="13.5" customHeight="1" x14ac:dyDescent="0.2"/>
    <row r="281" s="51" customFormat="1" ht="13.5" customHeight="1" x14ac:dyDescent="0.2"/>
    <row r="282" s="51" customFormat="1" ht="13.5" customHeight="1" x14ac:dyDescent="0.2"/>
    <row r="283" s="51" customFormat="1" ht="13.5" customHeight="1" x14ac:dyDescent="0.2"/>
    <row r="284" s="51" customFormat="1" ht="13.5" customHeight="1" x14ac:dyDescent="0.2"/>
    <row r="285" s="51" customFormat="1" ht="13.5" customHeight="1" x14ac:dyDescent="0.2"/>
    <row r="286" s="51" customFormat="1" ht="13.5" customHeight="1" x14ac:dyDescent="0.2"/>
    <row r="287" s="51" customFormat="1" ht="13.5" customHeight="1" x14ac:dyDescent="0.2"/>
    <row r="288" s="51" customFormat="1" ht="13.5" customHeight="1" x14ac:dyDescent="0.2"/>
    <row r="289" s="51" customFormat="1" ht="13.5" customHeight="1" x14ac:dyDescent="0.2"/>
    <row r="290" s="51" customFormat="1" ht="13.5" customHeight="1" x14ac:dyDescent="0.2"/>
    <row r="291" s="51" customFormat="1" ht="13.5" customHeight="1" x14ac:dyDescent="0.2"/>
    <row r="292" s="51" customFormat="1" ht="13.5" customHeight="1" x14ac:dyDescent="0.2"/>
    <row r="293" s="51" customFormat="1" ht="13.5" customHeight="1" x14ac:dyDescent="0.2"/>
    <row r="294" s="51" customFormat="1" ht="13.5" customHeight="1" x14ac:dyDescent="0.2"/>
    <row r="295" s="51" customFormat="1" ht="13.5" customHeight="1" x14ac:dyDescent="0.2"/>
    <row r="296" s="51" customFormat="1" ht="13.5" customHeight="1" x14ac:dyDescent="0.2"/>
    <row r="297" s="51" customFormat="1" ht="13.5" customHeight="1" x14ac:dyDescent="0.2"/>
    <row r="298" s="51" customFormat="1" ht="13.5" customHeight="1" x14ac:dyDescent="0.2"/>
    <row r="299" s="51" customFormat="1" ht="13.5" customHeight="1" x14ac:dyDescent="0.2"/>
    <row r="300" s="51" customFormat="1" ht="13.5" customHeight="1" x14ac:dyDescent="0.2"/>
    <row r="301" s="51" customFormat="1" ht="13.5" customHeight="1" x14ac:dyDescent="0.2"/>
    <row r="302" s="51" customFormat="1" ht="13.5" customHeight="1" x14ac:dyDescent="0.2"/>
    <row r="303" s="51" customFormat="1" ht="13.5" customHeight="1" x14ac:dyDescent="0.2"/>
    <row r="304" s="51" customFormat="1" ht="13.5" customHeight="1" x14ac:dyDescent="0.2"/>
    <row r="305" s="51" customFormat="1" ht="13.5" customHeight="1" x14ac:dyDescent="0.2"/>
    <row r="306" s="51" customFormat="1" ht="13.5" customHeight="1" x14ac:dyDescent="0.2"/>
    <row r="307" s="51" customFormat="1" ht="13.5" customHeight="1" x14ac:dyDescent="0.2"/>
    <row r="308" s="51" customFormat="1" ht="13.5" customHeight="1" x14ac:dyDescent="0.2"/>
    <row r="309" s="51" customFormat="1" ht="13.5" customHeight="1" x14ac:dyDescent="0.2"/>
    <row r="310" s="51" customFormat="1" ht="13.5" customHeight="1" x14ac:dyDescent="0.2"/>
    <row r="311" s="51" customFormat="1" ht="13.5" customHeight="1" x14ac:dyDescent="0.2"/>
    <row r="312" s="51" customFormat="1" ht="13.5" customHeight="1" x14ac:dyDescent="0.2"/>
    <row r="313" s="51" customFormat="1" ht="13.5" customHeight="1" x14ac:dyDescent="0.2"/>
    <row r="314" s="51" customFormat="1" ht="13.5" customHeight="1" x14ac:dyDescent="0.2"/>
    <row r="315" s="51" customFormat="1" ht="13.5" customHeight="1" x14ac:dyDescent="0.2"/>
    <row r="316" s="51" customFormat="1" ht="13.5" customHeight="1" x14ac:dyDescent="0.2"/>
    <row r="317" s="51" customFormat="1" ht="13.5" customHeight="1" x14ac:dyDescent="0.2"/>
    <row r="318" s="51" customFormat="1" ht="13.5" customHeight="1" x14ac:dyDescent="0.2"/>
    <row r="319" s="51" customFormat="1" ht="13.5" customHeight="1" x14ac:dyDescent="0.2"/>
    <row r="320" s="51" customFormat="1" ht="13.5" customHeight="1" x14ac:dyDescent="0.2"/>
    <row r="321" s="51" customFormat="1" ht="13.5" customHeight="1" x14ac:dyDescent="0.2"/>
    <row r="322" s="51" customFormat="1" ht="13.5" customHeight="1" x14ac:dyDescent="0.2"/>
    <row r="323" s="51" customFormat="1" ht="13.5" customHeight="1" x14ac:dyDescent="0.2"/>
    <row r="324" s="51" customFormat="1" ht="13.5" customHeight="1" x14ac:dyDescent="0.2"/>
    <row r="325" s="51" customFormat="1" ht="13.5" customHeight="1" x14ac:dyDescent="0.2"/>
    <row r="326" s="51" customFormat="1" ht="13.5" customHeight="1" x14ac:dyDescent="0.2"/>
    <row r="327" s="51" customFormat="1" ht="13.5" customHeight="1" x14ac:dyDescent="0.2"/>
    <row r="328" s="51" customFormat="1" ht="13.5" customHeight="1" x14ac:dyDescent="0.2"/>
    <row r="329" s="51" customFormat="1" ht="13.5" customHeight="1" x14ac:dyDescent="0.2"/>
    <row r="330" s="51" customFormat="1" ht="13.5" customHeight="1" x14ac:dyDescent="0.2"/>
    <row r="331" s="51" customFormat="1" ht="13.5" customHeight="1" x14ac:dyDescent="0.2"/>
    <row r="332" s="51" customFormat="1" ht="13.5" customHeight="1" x14ac:dyDescent="0.2"/>
    <row r="333" s="51" customFormat="1" ht="13.5" customHeight="1" x14ac:dyDescent="0.2"/>
    <row r="334" s="51" customFormat="1" ht="13.5" customHeight="1" x14ac:dyDescent="0.2"/>
    <row r="335" s="51" customFormat="1" ht="13.5" customHeight="1" x14ac:dyDescent="0.2"/>
    <row r="336" s="51" customFormat="1" ht="13.5" customHeight="1" x14ac:dyDescent="0.2"/>
    <row r="337" s="51" customFormat="1" ht="13.5" customHeight="1" x14ac:dyDescent="0.2"/>
    <row r="338" s="51" customFormat="1" ht="13.5" customHeight="1" x14ac:dyDescent="0.2"/>
    <row r="339" s="51" customFormat="1" ht="13.5" customHeight="1" x14ac:dyDescent="0.2"/>
    <row r="340" s="51" customFormat="1" ht="13.5" customHeight="1" x14ac:dyDescent="0.2"/>
    <row r="341" s="51" customFormat="1" ht="13.5" customHeight="1" x14ac:dyDescent="0.2"/>
    <row r="342" s="51" customFormat="1" ht="13.5" customHeight="1" x14ac:dyDescent="0.2"/>
    <row r="343" s="51" customFormat="1" ht="13.5" customHeight="1" x14ac:dyDescent="0.2"/>
    <row r="344" s="51" customFormat="1" ht="13.5" customHeight="1" x14ac:dyDescent="0.2"/>
    <row r="345" s="51" customFormat="1" ht="13.5" customHeight="1" x14ac:dyDescent="0.2"/>
    <row r="346" s="51" customFormat="1" ht="13.5" customHeight="1" x14ac:dyDescent="0.2"/>
    <row r="347" s="51" customFormat="1" ht="13.5" customHeight="1" x14ac:dyDescent="0.2"/>
    <row r="348" s="51" customFormat="1" ht="13.5" customHeight="1" x14ac:dyDescent="0.2"/>
    <row r="349" s="51" customFormat="1" ht="13.5" customHeight="1" x14ac:dyDescent="0.2"/>
    <row r="350" s="51" customFormat="1" ht="13.5" customHeight="1" x14ac:dyDescent="0.2"/>
    <row r="351" s="51" customFormat="1" ht="13.5" customHeight="1" x14ac:dyDescent="0.2"/>
    <row r="352" s="51" customFormat="1" ht="13.5" customHeight="1" x14ac:dyDescent="0.2"/>
    <row r="353" s="51" customFormat="1" ht="13.5" customHeight="1" x14ac:dyDescent="0.2"/>
    <row r="354" s="51" customFormat="1" ht="13.5" customHeight="1" x14ac:dyDescent="0.2"/>
    <row r="355" s="51" customFormat="1" ht="13.5" customHeight="1" x14ac:dyDescent="0.2"/>
    <row r="356" s="51" customFormat="1" ht="13.5" customHeight="1" x14ac:dyDescent="0.2"/>
    <row r="357" s="51" customFormat="1" ht="13.5" customHeight="1" x14ac:dyDescent="0.2"/>
    <row r="358" s="51" customFormat="1" ht="13.5" customHeight="1" x14ac:dyDescent="0.2"/>
    <row r="359" s="51" customFormat="1" ht="13.5" customHeight="1" x14ac:dyDescent="0.2"/>
    <row r="360" s="51" customFormat="1" ht="13.5" customHeight="1" x14ac:dyDescent="0.2"/>
    <row r="361" s="51" customFormat="1" ht="13.5" customHeight="1" x14ac:dyDescent="0.2"/>
    <row r="362" s="51" customFormat="1" ht="13.5" customHeight="1" x14ac:dyDescent="0.2"/>
    <row r="363" s="51" customFormat="1" ht="13.5" customHeight="1" x14ac:dyDescent="0.2"/>
    <row r="364" s="51" customFormat="1" ht="13.5" customHeight="1" x14ac:dyDescent="0.2"/>
    <row r="365" s="51" customFormat="1" ht="13.5" customHeight="1" x14ac:dyDescent="0.2"/>
    <row r="366" s="51" customFormat="1" ht="13.5" customHeight="1" x14ac:dyDescent="0.2"/>
    <row r="367" s="51" customFormat="1" ht="13.5" customHeight="1" x14ac:dyDescent="0.2"/>
    <row r="368" s="51" customFormat="1" ht="13.5" customHeight="1" x14ac:dyDescent="0.2"/>
    <row r="369" s="51" customFormat="1" ht="13.5" customHeight="1" x14ac:dyDescent="0.2"/>
    <row r="370" s="51" customFormat="1" ht="13.5" customHeight="1" x14ac:dyDescent="0.2"/>
    <row r="371" s="51" customFormat="1" ht="13.5" customHeight="1" x14ac:dyDescent="0.2"/>
    <row r="372" s="51" customFormat="1" ht="13.5" customHeight="1" x14ac:dyDescent="0.2"/>
    <row r="373" s="51" customFormat="1" ht="13.5" customHeight="1" x14ac:dyDescent="0.2"/>
    <row r="374" s="51" customFormat="1" ht="13.5" customHeight="1" x14ac:dyDescent="0.2"/>
    <row r="375" s="51" customFormat="1" ht="13.5" customHeight="1" x14ac:dyDescent="0.2"/>
    <row r="376" s="51" customFormat="1" ht="13.5" customHeight="1" x14ac:dyDescent="0.2"/>
    <row r="377" s="51" customFormat="1" ht="13.5" customHeight="1" x14ac:dyDescent="0.2"/>
    <row r="378" s="51" customFormat="1" ht="13.5" customHeight="1" x14ac:dyDescent="0.2"/>
    <row r="379" s="51" customFormat="1" ht="13.5" customHeight="1" x14ac:dyDescent="0.2"/>
    <row r="380" s="51" customFormat="1" ht="13.5" customHeight="1" x14ac:dyDescent="0.2"/>
    <row r="381" s="51" customFormat="1" ht="13.5" customHeight="1" x14ac:dyDescent="0.2"/>
    <row r="382" s="51" customFormat="1" ht="13.5" customHeight="1" x14ac:dyDescent="0.2"/>
    <row r="383" s="51" customFormat="1" ht="13.5" customHeight="1" x14ac:dyDescent="0.2"/>
    <row r="384" s="51" customFormat="1" ht="13.5" customHeight="1" x14ac:dyDescent="0.2"/>
    <row r="385" s="51" customFormat="1" ht="13.5" customHeight="1" x14ac:dyDescent="0.2"/>
    <row r="386" s="51" customFormat="1" ht="13.5" customHeight="1" x14ac:dyDescent="0.2"/>
    <row r="387" s="51" customFormat="1" ht="13.5" customHeight="1" x14ac:dyDescent="0.2"/>
    <row r="388" s="51" customFormat="1" ht="13.5" customHeight="1" x14ac:dyDescent="0.2"/>
    <row r="389" s="51" customFormat="1" ht="13.5" customHeight="1" x14ac:dyDescent="0.2"/>
    <row r="390" s="51" customFormat="1" ht="13.5" customHeight="1" x14ac:dyDescent="0.2"/>
    <row r="391" s="51" customFormat="1" ht="13.5" customHeight="1" x14ac:dyDescent="0.2"/>
    <row r="392" s="51" customFormat="1" ht="13.5" customHeight="1" x14ac:dyDescent="0.2"/>
    <row r="393" s="51" customFormat="1" ht="13.5" customHeight="1" x14ac:dyDescent="0.2"/>
    <row r="394" s="51" customFormat="1" ht="13.5" customHeight="1" x14ac:dyDescent="0.2"/>
    <row r="395" s="51" customFormat="1" ht="13.5" customHeight="1" x14ac:dyDescent="0.2"/>
    <row r="396" s="51" customFormat="1" ht="13.5" customHeight="1" x14ac:dyDescent="0.2"/>
    <row r="397" s="51" customFormat="1" ht="13.5" customHeight="1" x14ac:dyDescent="0.2"/>
    <row r="398" s="51" customFormat="1" ht="13.5" customHeight="1" x14ac:dyDescent="0.2"/>
    <row r="399" s="51" customFormat="1" ht="13.5" customHeight="1" x14ac:dyDescent="0.2"/>
    <row r="400" s="51" customFormat="1" ht="13.5" customHeight="1" x14ac:dyDescent="0.2"/>
    <row r="401" s="51" customFormat="1" ht="13.5" customHeight="1" x14ac:dyDescent="0.2"/>
    <row r="402" s="51" customFormat="1" ht="13.5" customHeight="1" x14ac:dyDescent="0.2"/>
    <row r="403" s="51" customFormat="1" ht="13.5" customHeight="1" x14ac:dyDescent="0.2"/>
    <row r="404" s="51" customFormat="1" ht="13.5" customHeight="1" x14ac:dyDescent="0.2"/>
    <row r="405" s="51" customFormat="1" ht="13.5" customHeight="1" x14ac:dyDescent="0.2"/>
    <row r="406" s="51" customFormat="1" ht="13.5" customHeight="1" x14ac:dyDescent="0.2"/>
    <row r="407" s="51" customFormat="1" ht="13.5" customHeight="1" x14ac:dyDescent="0.2"/>
    <row r="408" s="51" customFormat="1" ht="13.5" customHeight="1" x14ac:dyDescent="0.2"/>
    <row r="409" s="51" customFormat="1" ht="13.5" customHeight="1" x14ac:dyDescent="0.2"/>
    <row r="410" s="51" customFormat="1" ht="13.5" customHeight="1" x14ac:dyDescent="0.2"/>
    <row r="411" s="51" customFormat="1" ht="13.5" customHeight="1" x14ac:dyDescent="0.2"/>
    <row r="412" s="51" customFormat="1" ht="13.5" customHeight="1" x14ac:dyDescent="0.2"/>
    <row r="413" s="51" customFormat="1" ht="13.5" customHeight="1" x14ac:dyDescent="0.2"/>
    <row r="414" s="51" customFormat="1" ht="13.5" customHeight="1" x14ac:dyDescent="0.2"/>
    <row r="415" s="51" customFormat="1" ht="13.5" customHeight="1" x14ac:dyDescent="0.2"/>
    <row r="416" s="51" customFormat="1" ht="13.5" customHeight="1" x14ac:dyDescent="0.2"/>
    <row r="417" s="51" customFormat="1" ht="13.5" customHeight="1" x14ac:dyDescent="0.2"/>
    <row r="418" s="51" customFormat="1" ht="13.5" customHeight="1" x14ac:dyDescent="0.2"/>
    <row r="419" s="51" customFormat="1" ht="13.5" customHeight="1" x14ac:dyDescent="0.2"/>
    <row r="420" s="51" customFormat="1" ht="13.5" customHeight="1" x14ac:dyDescent="0.2"/>
    <row r="421" s="51" customFormat="1" ht="13.5" customHeight="1" x14ac:dyDescent="0.2"/>
    <row r="422" s="51" customFormat="1" ht="13.5" customHeight="1" x14ac:dyDescent="0.2"/>
    <row r="423" s="51" customFormat="1" ht="13.5" customHeight="1" x14ac:dyDescent="0.2"/>
    <row r="424" s="51" customFormat="1" ht="13.5" customHeight="1" x14ac:dyDescent="0.2"/>
    <row r="425" s="51" customFormat="1" ht="13.5" customHeight="1" x14ac:dyDescent="0.2"/>
    <row r="426" s="51" customFormat="1" ht="13.5" customHeight="1" x14ac:dyDescent="0.2"/>
    <row r="427" s="51" customFormat="1" ht="13.5" customHeight="1" x14ac:dyDescent="0.2"/>
    <row r="428" s="51" customFormat="1" ht="13.5" customHeight="1" x14ac:dyDescent="0.2"/>
    <row r="429" s="51" customFormat="1" ht="13.5" customHeight="1" x14ac:dyDescent="0.2"/>
    <row r="430" s="51" customFormat="1" ht="13.5" customHeight="1" x14ac:dyDescent="0.2"/>
    <row r="431" s="51" customFormat="1" ht="13.5" customHeight="1" x14ac:dyDescent="0.2"/>
    <row r="432" s="51" customFormat="1" ht="13.5" customHeight="1" x14ac:dyDescent="0.2"/>
    <row r="433" s="51" customFormat="1" ht="13.5" customHeight="1" x14ac:dyDescent="0.2"/>
    <row r="434" s="51" customFormat="1" ht="13.5" customHeight="1" x14ac:dyDescent="0.2"/>
    <row r="435" s="51" customFormat="1" ht="13.5" customHeight="1" x14ac:dyDescent="0.2"/>
    <row r="436" s="51" customFormat="1" ht="13.5" customHeight="1" x14ac:dyDescent="0.2"/>
    <row r="437" s="51" customFormat="1" ht="13.5" customHeight="1" x14ac:dyDescent="0.2"/>
    <row r="438" s="51" customFormat="1" ht="13.5" customHeight="1" x14ac:dyDescent="0.2"/>
    <row r="439" s="51" customFormat="1" ht="13.5" customHeight="1" x14ac:dyDescent="0.2"/>
    <row r="440" s="51" customFormat="1" ht="13.5" customHeight="1" x14ac:dyDescent="0.2"/>
    <row r="441" s="51" customFormat="1" ht="13.5" customHeight="1" x14ac:dyDescent="0.2"/>
    <row r="442" s="51" customFormat="1" ht="13.5" customHeight="1" x14ac:dyDescent="0.2"/>
    <row r="443" s="51" customFormat="1" ht="13.5" customHeight="1" x14ac:dyDescent="0.2"/>
    <row r="444" s="51" customFormat="1" ht="13.5" customHeight="1" x14ac:dyDescent="0.2"/>
    <row r="445" s="51" customFormat="1" ht="13.5" customHeight="1" x14ac:dyDescent="0.2"/>
    <row r="446" s="51" customFormat="1" ht="13.5" customHeight="1" x14ac:dyDescent="0.2"/>
    <row r="447" s="51" customFormat="1" ht="13.5" customHeight="1" x14ac:dyDescent="0.2"/>
    <row r="448" s="51" customFormat="1" ht="13.5" customHeight="1" x14ac:dyDescent="0.2"/>
    <row r="449" s="51" customFormat="1" ht="13.5" customHeight="1" x14ac:dyDescent="0.2"/>
    <row r="450" s="51" customFormat="1" ht="13.5" customHeight="1" x14ac:dyDescent="0.2"/>
    <row r="451" s="51" customFormat="1" ht="13.5" customHeight="1" x14ac:dyDescent="0.2"/>
    <row r="452" s="51" customFormat="1" ht="13.5" customHeight="1" x14ac:dyDescent="0.2"/>
    <row r="453" s="51" customFormat="1" ht="13.5" customHeight="1" x14ac:dyDescent="0.2"/>
    <row r="454" s="51" customFormat="1" ht="13.5" customHeight="1" x14ac:dyDescent="0.2"/>
    <row r="455" s="51" customFormat="1" ht="13.5" customHeight="1" x14ac:dyDescent="0.2"/>
    <row r="456" s="51" customFormat="1" ht="13.5" customHeight="1" x14ac:dyDescent="0.2"/>
    <row r="457" s="51" customFormat="1" ht="13.5" customHeight="1" x14ac:dyDescent="0.2"/>
    <row r="458" s="51" customFormat="1" ht="13.5" customHeight="1" x14ac:dyDescent="0.2"/>
    <row r="459" s="51" customFormat="1" ht="13.5" customHeight="1" x14ac:dyDescent="0.2"/>
    <row r="460" s="51" customFormat="1" ht="13.5" customHeight="1" x14ac:dyDescent="0.2"/>
    <row r="461" s="51" customFormat="1" ht="13.5" customHeight="1" x14ac:dyDescent="0.2"/>
    <row r="462" s="51" customFormat="1" ht="13.5" customHeight="1" x14ac:dyDescent="0.2"/>
    <row r="463" s="51" customFormat="1" ht="13.5" customHeight="1" x14ac:dyDescent="0.2"/>
    <row r="464" s="51" customFormat="1" ht="13.5" customHeight="1" x14ac:dyDescent="0.2"/>
    <row r="465" s="51" customFormat="1" ht="13.5" customHeight="1" x14ac:dyDescent="0.2"/>
    <row r="466" s="51" customFormat="1" ht="13.5" customHeight="1" x14ac:dyDescent="0.2"/>
    <row r="467" s="51" customFormat="1" ht="13.5" customHeight="1" x14ac:dyDescent="0.2"/>
    <row r="468" s="51" customFormat="1" ht="13.5" customHeight="1" x14ac:dyDescent="0.2"/>
    <row r="469" s="51" customFormat="1" ht="13.5" customHeight="1" x14ac:dyDescent="0.2"/>
    <row r="470" s="51" customFormat="1" ht="13.5" customHeight="1" x14ac:dyDescent="0.2"/>
    <row r="471" s="51" customFormat="1" ht="13.5" customHeight="1" x14ac:dyDescent="0.2"/>
    <row r="472" s="51" customFormat="1" ht="13.5" customHeight="1" x14ac:dyDescent="0.2"/>
    <row r="473" s="51" customFormat="1" ht="13.5" customHeight="1" x14ac:dyDescent="0.2"/>
    <row r="474" s="51" customFormat="1" ht="13.5" customHeight="1" x14ac:dyDescent="0.2"/>
    <row r="475" s="51" customFormat="1" ht="13.5" customHeight="1" x14ac:dyDescent="0.2"/>
    <row r="476" s="51" customFormat="1" ht="13.5" customHeight="1" x14ac:dyDescent="0.2"/>
    <row r="477" s="51" customFormat="1" ht="13.5" customHeight="1" x14ac:dyDescent="0.2"/>
    <row r="478" s="51" customFormat="1" ht="13.5" customHeight="1" x14ac:dyDescent="0.2"/>
    <row r="479" s="51" customFormat="1" ht="13.5" customHeight="1" x14ac:dyDescent="0.2"/>
    <row r="480" s="51" customFormat="1" ht="13.5" customHeight="1" x14ac:dyDescent="0.2"/>
    <row r="481" s="51" customFormat="1" ht="13.5" customHeight="1" x14ac:dyDescent="0.2"/>
    <row r="482" s="51" customFormat="1" ht="13.5" customHeight="1" x14ac:dyDescent="0.2"/>
    <row r="483" s="51" customFormat="1" ht="13.5" customHeight="1" x14ac:dyDescent="0.2"/>
    <row r="484" s="51" customFormat="1" ht="13.5" customHeight="1" x14ac:dyDescent="0.2"/>
    <row r="485" s="51" customFormat="1" ht="13.5" customHeight="1" x14ac:dyDescent="0.2"/>
    <row r="486" s="51" customFormat="1" ht="13.5" customHeight="1" x14ac:dyDescent="0.2"/>
    <row r="487" s="51" customFormat="1" ht="13.5" customHeight="1" x14ac:dyDescent="0.2"/>
    <row r="488" s="51" customFormat="1" ht="13.5" customHeight="1" x14ac:dyDescent="0.2"/>
    <row r="489" s="51" customFormat="1" ht="13.5" customHeight="1" x14ac:dyDescent="0.2"/>
    <row r="490" s="51" customFormat="1" ht="13.5" customHeight="1" x14ac:dyDescent="0.2"/>
    <row r="491" s="51" customFormat="1" ht="13.5" customHeight="1" x14ac:dyDescent="0.2"/>
    <row r="492" s="51" customFormat="1" ht="13.5" customHeight="1" x14ac:dyDescent="0.2"/>
    <row r="493" s="51" customFormat="1" ht="13.5" customHeight="1" x14ac:dyDescent="0.2"/>
    <row r="494" s="51" customFormat="1" ht="13.5" customHeight="1" x14ac:dyDescent="0.2"/>
    <row r="495" s="51" customFormat="1" ht="13.5" customHeight="1" x14ac:dyDescent="0.2"/>
    <row r="496" s="51" customFormat="1" ht="13.5" customHeight="1" x14ac:dyDescent="0.2"/>
    <row r="497" s="51" customFormat="1" ht="13.5" customHeight="1" x14ac:dyDescent="0.2"/>
    <row r="498" s="51" customFormat="1" ht="13.5" customHeight="1" x14ac:dyDescent="0.2"/>
    <row r="499" s="51" customFormat="1" ht="13.5" customHeight="1" x14ac:dyDescent="0.2"/>
    <row r="500" s="51" customFormat="1" ht="13.5" customHeight="1" x14ac:dyDescent="0.2"/>
    <row r="501" s="51" customFormat="1" ht="13.5" customHeight="1" x14ac:dyDescent="0.2"/>
    <row r="502" s="51" customFormat="1" ht="13.5" customHeight="1" x14ac:dyDescent="0.2"/>
    <row r="503" s="51" customFormat="1" ht="13.5" customHeight="1" x14ac:dyDescent="0.2"/>
    <row r="504" s="51" customFormat="1" ht="13.5" customHeight="1" x14ac:dyDescent="0.2"/>
    <row r="505" s="51" customFormat="1" ht="13.5" customHeight="1" x14ac:dyDescent="0.2"/>
    <row r="506" s="51" customFormat="1" ht="13.5" customHeight="1" x14ac:dyDescent="0.2"/>
    <row r="507" s="51" customFormat="1" ht="13.5" customHeight="1" x14ac:dyDescent="0.2"/>
    <row r="508" s="51" customFormat="1" ht="13.5" customHeight="1" x14ac:dyDescent="0.2"/>
    <row r="509" s="51" customFormat="1" ht="13.5" customHeight="1" x14ac:dyDescent="0.2"/>
    <row r="510" s="51" customFormat="1" ht="13.5" customHeight="1" x14ac:dyDescent="0.2"/>
    <row r="511" s="51" customFormat="1" ht="13.5" customHeight="1" x14ac:dyDescent="0.2"/>
    <row r="512" s="51" customFormat="1" ht="13.5" customHeight="1" x14ac:dyDescent="0.2"/>
    <row r="513" s="51" customFormat="1" ht="13.5" customHeight="1" x14ac:dyDescent="0.2"/>
    <row r="514" s="51" customFormat="1" ht="13.5" customHeight="1" x14ac:dyDescent="0.2"/>
    <row r="515" s="51" customFormat="1" ht="13.5" customHeight="1" x14ac:dyDescent="0.2"/>
    <row r="516" s="51" customFormat="1" ht="13.5" customHeight="1" x14ac:dyDescent="0.2"/>
    <row r="517" s="51" customFormat="1" ht="13.5" customHeight="1" x14ac:dyDescent="0.2"/>
    <row r="518" s="51" customFormat="1" ht="13.5" customHeight="1" x14ac:dyDescent="0.2"/>
    <row r="519" s="51" customFormat="1" ht="13.5" customHeight="1" x14ac:dyDescent="0.2"/>
    <row r="520" s="51" customFormat="1" ht="13.5" customHeight="1" x14ac:dyDescent="0.2"/>
    <row r="521" s="51" customFormat="1" ht="13.5" customHeight="1" x14ac:dyDescent="0.2"/>
    <row r="522" s="51" customFormat="1" ht="13.5" customHeight="1" x14ac:dyDescent="0.2"/>
    <row r="523" s="51" customFormat="1" ht="13.5" customHeight="1" x14ac:dyDescent="0.2"/>
    <row r="524" s="51" customFormat="1" ht="13.5" customHeight="1" x14ac:dyDescent="0.2"/>
    <row r="525" s="51" customFormat="1" ht="13.5" customHeight="1" x14ac:dyDescent="0.2"/>
    <row r="526" s="51" customFormat="1" ht="13.5" customHeight="1" x14ac:dyDescent="0.2"/>
    <row r="527" s="51" customFormat="1" ht="13.5" customHeight="1" x14ac:dyDescent="0.2"/>
    <row r="528" s="51" customFormat="1" ht="13.5" customHeight="1" x14ac:dyDescent="0.2"/>
    <row r="529" s="51" customFormat="1" ht="13.5" customHeight="1" x14ac:dyDescent="0.2"/>
    <row r="530" s="51" customFormat="1" ht="13.5" customHeight="1" x14ac:dyDescent="0.2"/>
    <row r="531" s="51" customFormat="1" ht="13.5" customHeight="1" x14ac:dyDescent="0.2"/>
    <row r="532" s="51" customFormat="1" ht="13.5" customHeight="1" x14ac:dyDescent="0.2"/>
    <row r="533" s="51" customFormat="1" ht="13.5" customHeight="1" x14ac:dyDescent="0.2"/>
    <row r="534" s="51" customFormat="1" ht="13.5" customHeight="1" x14ac:dyDescent="0.2"/>
    <row r="535" s="51" customFormat="1" ht="13.5" customHeight="1" x14ac:dyDescent="0.2"/>
    <row r="536" s="51" customFormat="1" ht="13.5" customHeight="1" x14ac:dyDescent="0.2"/>
    <row r="537" s="51" customFormat="1" ht="13.5" customHeight="1" x14ac:dyDescent="0.2"/>
    <row r="538" s="51" customFormat="1" ht="13.5" customHeight="1" x14ac:dyDescent="0.2"/>
    <row r="539" s="51" customFormat="1" ht="13.5" customHeight="1" x14ac:dyDescent="0.2"/>
    <row r="540" s="51" customFormat="1" ht="13.5" customHeight="1" x14ac:dyDescent="0.2"/>
    <row r="541" s="51" customFormat="1" ht="13.5" customHeight="1" x14ac:dyDescent="0.2"/>
    <row r="542" s="51" customFormat="1" ht="13.5" customHeight="1" x14ac:dyDescent="0.2"/>
    <row r="543" s="51" customFormat="1" ht="13.5" customHeight="1" x14ac:dyDescent="0.2"/>
    <row r="544" s="51" customFormat="1" ht="13.5" customHeight="1" x14ac:dyDescent="0.2"/>
    <row r="545" s="51" customFormat="1" ht="13.5" customHeight="1" x14ac:dyDescent="0.2"/>
    <row r="546" s="51" customFormat="1" ht="13.5" customHeight="1" x14ac:dyDescent="0.2"/>
    <row r="547" s="51" customFormat="1" ht="13.5" customHeight="1" x14ac:dyDescent="0.2"/>
    <row r="548" s="51" customFormat="1" ht="13.5" customHeight="1" x14ac:dyDescent="0.2"/>
    <row r="549" s="51" customFormat="1" ht="13.5" customHeight="1" x14ac:dyDescent="0.2"/>
    <row r="550" s="51" customFormat="1" ht="13.5" customHeight="1" x14ac:dyDescent="0.2"/>
    <row r="551" s="51" customFormat="1" ht="13.5" customHeight="1" x14ac:dyDescent="0.2"/>
    <row r="552" s="51" customFormat="1" ht="13.5" customHeight="1" x14ac:dyDescent="0.2"/>
    <row r="553" s="51" customFormat="1" ht="13.5" customHeight="1" x14ac:dyDescent="0.2"/>
    <row r="554" s="51" customFormat="1" ht="13.5" customHeight="1" x14ac:dyDescent="0.2"/>
    <row r="555" s="51" customFormat="1" ht="13.5" customHeight="1" x14ac:dyDescent="0.2"/>
    <row r="556" s="51" customFormat="1" ht="13.5" customHeight="1" x14ac:dyDescent="0.2"/>
    <row r="557" s="51" customFormat="1" ht="13.5" customHeight="1" x14ac:dyDescent="0.2"/>
    <row r="558" s="51" customFormat="1" ht="13.5" customHeight="1" x14ac:dyDescent="0.2"/>
    <row r="559" s="51" customFormat="1" ht="13.5" customHeight="1" x14ac:dyDescent="0.2"/>
    <row r="560" s="51" customFormat="1" ht="13.5" customHeight="1" x14ac:dyDescent="0.2"/>
    <row r="561" s="51" customFormat="1" ht="13.5" customHeight="1" x14ac:dyDescent="0.2"/>
    <row r="562" s="51" customFormat="1" ht="13.5" customHeight="1" x14ac:dyDescent="0.2"/>
    <row r="563" s="51" customFormat="1" ht="13.5" customHeight="1" x14ac:dyDescent="0.2"/>
    <row r="564" s="51" customFormat="1" ht="13.5" customHeight="1" x14ac:dyDescent="0.2"/>
    <row r="565" s="51" customFormat="1" ht="13.5" customHeight="1" x14ac:dyDescent="0.2"/>
    <row r="566" s="51" customFormat="1" ht="13.5" customHeight="1" x14ac:dyDescent="0.2"/>
    <row r="567" s="51" customFormat="1" ht="13.5" customHeight="1" x14ac:dyDescent="0.2"/>
    <row r="568" s="51" customFormat="1" ht="13.5" customHeight="1" x14ac:dyDescent="0.2"/>
    <row r="569" s="51" customFormat="1" ht="13.5" customHeight="1" x14ac:dyDescent="0.2"/>
    <row r="570" s="51" customFormat="1" ht="13.5" customHeight="1" x14ac:dyDescent="0.2"/>
    <row r="571" s="51" customFormat="1" ht="13.5" customHeight="1" x14ac:dyDescent="0.2"/>
    <row r="572" s="51" customFormat="1" ht="13.5" customHeight="1" x14ac:dyDescent="0.2"/>
    <row r="573" s="51" customFormat="1" ht="13.5" customHeight="1" x14ac:dyDescent="0.2"/>
    <row r="574" s="51" customFormat="1" ht="13.5" customHeight="1" x14ac:dyDescent="0.2"/>
    <row r="575" s="51" customFormat="1" ht="13.5" customHeight="1" x14ac:dyDescent="0.2"/>
    <row r="576" s="51" customFormat="1" ht="13.5" customHeight="1" x14ac:dyDescent="0.2"/>
    <row r="577" s="51" customFormat="1" ht="13.5" customHeight="1" x14ac:dyDescent="0.2"/>
    <row r="578" s="51" customFormat="1" ht="13.5" customHeight="1" x14ac:dyDescent="0.2"/>
    <row r="579" s="51" customFormat="1" ht="13.5" customHeight="1" x14ac:dyDescent="0.2"/>
    <row r="580" s="51" customFormat="1" ht="13.5" customHeight="1" x14ac:dyDescent="0.2"/>
    <row r="581" s="51" customFormat="1" ht="13.5" customHeight="1" x14ac:dyDescent="0.2"/>
    <row r="582" s="51" customFormat="1" ht="13.5" customHeight="1" x14ac:dyDescent="0.2"/>
    <row r="583" s="51" customFormat="1" ht="13.5" customHeight="1" x14ac:dyDescent="0.2"/>
    <row r="584" s="51" customFormat="1" ht="13.5" customHeight="1" x14ac:dyDescent="0.2"/>
    <row r="585" s="51" customFormat="1" ht="13.5" customHeight="1" x14ac:dyDescent="0.2"/>
    <row r="586" s="51" customFormat="1" ht="13.5" customHeight="1" x14ac:dyDescent="0.2"/>
    <row r="587" s="51" customFormat="1" ht="13.5" customHeight="1" x14ac:dyDescent="0.2"/>
    <row r="588" s="51" customFormat="1" ht="13.5" customHeight="1" x14ac:dyDescent="0.2"/>
    <row r="589" s="51" customFormat="1" ht="13.5" customHeight="1" x14ac:dyDescent="0.2"/>
    <row r="590" s="51" customFormat="1" ht="13.5" customHeight="1" x14ac:dyDescent="0.2"/>
    <row r="591" s="51" customFormat="1" ht="13.5" customHeight="1" x14ac:dyDescent="0.2"/>
    <row r="592" s="51" customFormat="1" ht="13.5" customHeight="1" x14ac:dyDescent="0.2"/>
    <row r="593" s="51" customFormat="1" ht="13.5" customHeight="1" x14ac:dyDescent="0.2"/>
    <row r="594" s="51" customFormat="1" ht="13.5" customHeight="1" x14ac:dyDescent="0.2"/>
    <row r="595" s="51" customFormat="1" ht="13.5" customHeight="1" x14ac:dyDescent="0.2"/>
    <row r="596" s="51" customFormat="1" ht="13.5" customHeight="1" x14ac:dyDescent="0.2"/>
    <row r="597" s="51" customFormat="1" ht="13.5" customHeight="1" x14ac:dyDescent="0.2"/>
    <row r="598" s="51" customFormat="1" ht="13.5" customHeight="1" x14ac:dyDescent="0.2"/>
    <row r="599" s="51" customFormat="1" ht="13.5" customHeight="1" x14ac:dyDescent="0.2"/>
    <row r="600" s="51" customFormat="1" ht="13.5" customHeight="1" x14ac:dyDescent="0.2"/>
    <row r="601" s="51" customFormat="1" ht="13.5" customHeight="1" x14ac:dyDescent="0.2"/>
    <row r="602" s="51" customFormat="1" ht="13.5" customHeight="1" x14ac:dyDescent="0.2"/>
    <row r="603" s="51" customFormat="1" ht="13.5" customHeight="1" x14ac:dyDescent="0.2"/>
    <row r="604" s="51" customFormat="1" ht="13.5" customHeight="1" x14ac:dyDescent="0.2"/>
    <row r="605" s="51" customFormat="1" ht="13.5" customHeight="1" x14ac:dyDescent="0.2"/>
    <row r="606" s="51" customFormat="1" ht="13.5" customHeight="1" x14ac:dyDescent="0.2"/>
    <row r="607" s="51" customFormat="1" ht="13.5" customHeight="1" x14ac:dyDescent="0.2"/>
    <row r="608" s="51" customFormat="1" ht="13.5" customHeight="1" x14ac:dyDescent="0.2"/>
    <row r="609" s="51" customFormat="1" ht="13.5" customHeight="1" x14ac:dyDescent="0.2"/>
    <row r="610" s="51" customFormat="1" ht="13.5" customHeight="1" x14ac:dyDescent="0.2"/>
    <row r="611" s="51" customFormat="1" ht="13.5" customHeight="1" x14ac:dyDescent="0.2"/>
    <row r="612" s="51" customFormat="1" ht="13.5" customHeight="1" x14ac:dyDescent="0.2"/>
    <row r="613" s="51" customFormat="1" ht="13.5" customHeight="1" x14ac:dyDescent="0.2"/>
    <row r="614" s="51" customFormat="1" ht="13.5" customHeight="1" x14ac:dyDescent="0.2"/>
    <row r="615" s="51" customFormat="1" ht="13.5" customHeight="1" x14ac:dyDescent="0.2"/>
    <row r="616" s="51" customFormat="1" ht="13.5" customHeight="1" x14ac:dyDescent="0.2"/>
    <row r="617" s="51" customFormat="1" ht="13.5" customHeight="1" x14ac:dyDescent="0.2"/>
    <row r="618" s="51" customFormat="1" ht="13.5" customHeight="1" x14ac:dyDescent="0.2"/>
    <row r="619" s="51" customFormat="1" ht="13.5" customHeight="1" x14ac:dyDescent="0.2"/>
    <row r="620" s="51" customFormat="1" ht="13.5" customHeight="1" x14ac:dyDescent="0.2"/>
    <row r="621" s="51" customFormat="1" ht="13.5" customHeight="1" x14ac:dyDescent="0.2"/>
    <row r="622" s="51" customFormat="1" ht="13.5" customHeight="1" x14ac:dyDescent="0.2"/>
    <row r="623" s="51" customFormat="1" ht="13.5" customHeight="1" x14ac:dyDescent="0.2"/>
    <row r="624" s="51" customFormat="1" ht="13.5" customHeight="1" x14ac:dyDescent="0.2"/>
    <row r="625" s="51" customFormat="1" ht="13.5" customHeight="1" x14ac:dyDescent="0.2"/>
    <row r="626" s="51" customFormat="1" ht="13.5" customHeight="1" x14ac:dyDescent="0.2"/>
    <row r="627" s="51" customFormat="1" ht="13.5" customHeight="1" x14ac:dyDescent="0.2"/>
    <row r="628" s="51" customFormat="1" ht="13.5" customHeight="1" x14ac:dyDescent="0.2"/>
    <row r="629" s="51" customFormat="1" ht="13.5" customHeight="1" x14ac:dyDescent="0.2"/>
    <row r="630" s="51" customFormat="1" ht="13.5" customHeight="1" x14ac:dyDescent="0.2"/>
    <row r="631" s="51" customFormat="1" ht="13.5" customHeight="1" x14ac:dyDescent="0.2"/>
    <row r="632" s="51" customFormat="1" ht="13.5" customHeight="1" x14ac:dyDescent="0.2"/>
    <row r="633" s="51" customFormat="1" ht="13.5" customHeight="1" x14ac:dyDescent="0.2"/>
    <row r="634" s="51" customFormat="1" ht="13.5" customHeight="1" x14ac:dyDescent="0.2"/>
    <row r="635" s="51" customFormat="1" ht="13.5" customHeight="1" x14ac:dyDescent="0.2"/>
    <row r="636" s="51" customFormat="1" ht="13.5" customHeight="1" x14ac:dyDescent="0.2"/>
    <row r="637" s="51" customFormat="1" ht="13.5" customHeight="1" x14ac:dyDescent="0.2"/>
    <row r="638" s="51" customFormat="1" ht="13.5" customHeight="1" x14ac:dyDescent="0.2"/>
    <row r="639" s="51" customFormat="1" ht="13.5" customHeight="1" x14ac:dyDescent="0.2"/>
    <row r="640" s="51" customFormat="1" ht="13.5" customHeight="1" x14ac:dyDescent="0.2"/>
    <row r="641" s="51" customFormat="1" ht="13.5" customHeight="1" x14ac:dyDescent="0.2"/>
    <row r="642" s="51" customFormat="1" ht="13.5" customHeight="1" x14ac:dyDescent="0.2"/>
    <row r="643" s="51" customFormat="1" ht="13.5" customHeight="1" x14ac:dyDescent="0.2"/>
    <row r="644" s="51" customFormat="1" ht="13.5" customHeight="1" x14ac:dyDescent="0.2"/>
    <row r="645" s="51" customFormat="1" ht="13.5" customHeight="1" x14ac:dyDescent="0.2"/>
    <row r="646" s="51" customFormat="1" ht="13.5" customHeight="1" x14ac:dyDescent="0.2"/>
    <row r="647" s="51" customFormat="1" ht="13.5" customHeight="1" x14ac:dyDescent="0.2"/>
    <row r="648" s="51" customFormat="1" ht="13.5" customHeight="1" x14ac:dyDescent="0.2"/>
    <row r="649" s="51" customFormat="1" ht="13.5" customHeight="1" x14ac:dyDescent="0.2"/>
    <row r="650" s="51" customFormat="1" ht="13.5" customHeight="1" x14ac:dyDescent="0.2"/>
    <row r="651" s="51" customFormat="1" ht="13.5" customHeight="1" x14ac:dyDescent="0.2"/>
    <row r="652" s="51" customFormat="1" ht="13.5" customHeight="1" x14ac:dyDescent="0.2"/>
    <row r="653" s="51" customFormat="1" ht="13.5" customHeight="1" x14ac:dyDescent="0.2"/>
    <row r="654" s="51" customFormat="1" ht="13.5" customHeight="1" x14ac:dyDescent="0.2"/>
    <row r="655" s="51" customFormat="1" ht="13.5" customHeight="1" x14ac:dyDescent="0.2"/>
    <row r="656" s="51" customFormat="1" ht="13.5" customHeight="1" x14ac:dyDescent="0.2"/>
    <row r="657" s="51" customFormat="1" ht="13.5" customHeight="1" x14ac:dyDescent="0.2"/>
    <row r="658" s="51" customFormat="1" ht="13.5" customHeight="1" x14ac:dyDescent="0.2"/>
    <row r="659" s="51" customFormat="1" ht="13.5" customHeight="1" x14ac:dyDescent="0.2"/>
    <row r="660" s="51" customFormat="1" ht="13.5" customHeight="1" x14ac:dyDescent="0.2"/>
    <row r="661" s="51" customFormat="1" ht="13.5" customHeight="1" x14ac:dyDescent="0.2"/>
    <row r="662" s="51" customFormat="1" ht="13.5" customHeight="1" x14ac:dyDescent="0.2"/>
    <row r="663" s="51" customFormat="1" ht="13.5" customHeight="1" x14ac:dyDescent="0.2"/>
    <row r="664" s="51" customFormat="1" ht="13.5" customHeight="1" x14ac:dyDescent="0.2"/>
    <row r="665" s="51" customFormat="1" ht="13.5" customHeight="1" x14ac:dyDescent="0.2"/>
    <row r="666" s="51" customFormat="1" ht="13.5" customHeight="1" x14ac:dyDescent="0.2"/>
    <row r="667" s="51" customFormat="1" ht="13.5" customHeight="1" x14ac:dyDescent="0.2"/>
    <row r="668" s="51" customFormat="1" ht="13.5" customHeight="1" x14ac:dyDescent="0.2"/>
    <row r="669" s="51" customFormat="1" ht="13.5" customHeight="1" x14ac:dyDescent="0.2"/>
    <row r="670" s="51" customFormat="1" ht="13.5" customHeight="1" x14ac:dyDescent="0.2"/>
    <row r="671" s="51" customFormat="1" ht="13.5" customHeight="1" x14ac:dyDescent="0.2"/>
    <row r="672" s="51" customFormat="1" ht="13.5" customHeight="1" x14ac:dyDescent="0.2"/>
    <row r="673" s="51" customFormat="1" ht="13.5" customHeight="1" x14ac:dyDescent="0.2"/>
    <row r="674" s="51" customFormat="1" ht="13.5" customHeight="1" x14ac:dyDescent="0.2"/>
    <row r="675" s="51" customFormat="1" ht="13.5" customHeight="1" x14ac:dyDescent="0.2"/>
    <row r="676" s="51" customFormat="1" ht="13.5" customHeight="1" x14ac:dyDescent="0.2"/>
    <row r="677" s="51" customFormat="1" ht="13.5" customHeight="1" x14ac:dyDescent="0.2"/>
    <row r="678" s="51" customFormat="1" ht="13.5" customHeight="1" x14ac:dyDescent="0.2"/>
    <row r="679" s="51" customFormat="1" ht="13.5" customHeight="1" x14ac:dyDescent="0.2"/>
    <row r="680" s="51" customFormat="1" ht="13.5" customHeight="1" x14ac:dyDescent="0.2"/>
    <row r="681" s="51" customFormat="1" ht="13.5" customHeight="1" x14ac:dyDescent="0.2"/>
    <row r="682" s="51" customFormat="1" ht="13.5" customHeight="1" x14ac:dyDescent="0.2"/>
    <row r="683" s="51" customFormat="1" ht="13.5" customHeight="1" x14ac:dyDescent="0.2"/>
    <row r="684" s="51" customFormat="1" ht="13.5" customHeight="1" x14ac:dyDescent="0.2"/>
    <row r="685" s="51" customFormat="1" ht="13.5" customHeight="1" x14ac:dyDescent="0.2"/>
    <row r="686" s="51" customFormat="1" ht="13.5" customHeight="1" x14ac:dyDescent="0.2"/>
    <row r="687" s="51" customFormat="1" ht="13.5" customHeight="1" x14ac:dyDescent="0.2"/>
    <row r="688" s="51" customFormat="1" ht="13.5" customHeight="1" x14ac:dyDescent="0.2"/>
    <row r="689" s="51" customFormat="1" ht="13.5" customHeight="1" x14ac:dyDescent="0.2"/>
    <row r="690" s="51" customFormat="1" ht="13.5" customHeight="1" x14ac:dyDescent="0.2"/>
    <row r="691" s="51" customFormat="1" ht="13.5" customHeight="1" x14ac:dyDescent="0.2"/>
    <row r="692" s="51" customFormat="1" ht="13.5" customHeight="1" x14ac:dyDescent="0.2"/>
    <row r="693" s="51" customFormat="1" ht="13.5" customHeight="1" x14ac:dyDescent="0.2"/>
    <row r="694" s="51" customFormat="1" ht="13.5" customHeight="1" x14ac:dyDescent="0.2"/>
    <row r="695" s="51" customFormat="1" ht="13.5" customHeight="1" x14ac:dyDescent="0.2"/>
    <row r="696" s="51" customFormat="1" ht="13.5" customHeight="1" x14ac:dyDescent="0.2"/>
    <row r="697" s="51" customFormat="1" ht="13.5" customHeight="1" x14ac:dyDescent="0.2"/>
    <row r="698" s="51" customFormat="1" ht="13.5" customHeight="1" x14ac:dyDescent="0.2"/>
    <row r="699" s="51" customFormat="1" ht="13.5" customHeight="1" x14ac:dyDescent="0.2"/>
    <row r="700" s="51" customFormat="1" ht="13.5" customHeight="1" x14ac:dyDescent="0.2"/>
    <row r="701" s="51" customFormat="1" ht="13.5" customHeight="1" x14ac:dyDescent="0.2"/>
    <row r="702" s="51" customFormat="1" ht="13.5" customHeight="1" x14ac:dyDescent="0.2"/>
    <row r="703" s="51" customFormat="1" ht="13.5" customHeight="1" x14ac:dyDescent="0.2"/>
    <row r="704" s="51" customFormat="1" ht="13.5" customHeight="1" x14ac:dyDescent="0.2"/>
    <row r="705" s="51" customFormat="1" ht="13.5" customHeight="1" x14ac:dyDescent="0.2"/>
    <row r="706" s="51" customFormat="1" ht="13.5" customHeight="1" x14ac:dyDescent="0.2"/>
    <row r="707" s="51" customFormat="1" ht="13.5" customHeight="1" x14ac:dyDescent="0.2"/>
    <row r="708" s="51" customFormat="1" ht="13.5" customHeight="1" x14ac:dyDescent="0.2"/>
    <row r="709" s="51" customFormat="1" ht="13.5" customHeight="1" x14ac:dyDescent="0.2"/>
    <row r="710" s="51" customFormat="1" ht="13.5" customHeight="1" x14ac:dyDescent="0.2"/>
    <row r="711" s="51" customFormat="1" ht="13.5" customHeight="1" x14ac:dyDescent="0.2"/>
    <row r="712" s="51" customFormat="1" ht="13.5" customHeight="1" x14ac:dyDescent="0.2"/>
    <row r="713" s="51" customFormat="1" ht="13.5" customHeight="1" x14ac:dyDescent="0.2"/>
    <row r="714" s="51" customFormat="1" ht="13.5" customHeight="1" x14ac:dyDescent="0.2"/>
    <row r="715" s="51" customFormat="1" ht="13.5" customHeight="1" x14ac:dyDescent="0.2"/>
    <row r="716" s="51" customFormat="1" ht="13.5" customHeight="1" x14ac:dyDescent="0.2"/>
    <row r="717" s="51" customFormat="1" ht="13.5" customHeight="1" x14ac:dyDescent="0.2"/>
    <row r="718" s="51" customFormat="1" ht="13.5" customHeight="1" x14ac:dyDescent="0.2"/>
    <row r="719" s="51" customFormat="1" ht="13.5" customHeight="1" x14ac:dyDescent="0.2"/>
    <row r="720" s="51" customFormat="1" ht="13.5" customHeight="1" x14ac:dyDescent="0.2"/>
    <row r="721" s="51" customFormat="1" ht="13.5" customHeight="1" x14ac:dyDescent="0.2"/>
    <row r="722" s="51" customFormat="1" ht="13.5" customHeight="1" x14ac:dyDescent="0.2"/>
    <row r="723" s="51" customFormat="1" ht="13.5" customHeight="1" x14ac:dyDescent="0.2"/>
    <row r="724" s="51" customFormat="1" ht="13.5" customHeight="1" x14ac:dyDescent="0.2"/>
    <row r="725" s="51" customFormat="1" ht="13.5" customHeight="1" x14ac:dyDescent="0.2"/>
    <row r="726" s="51" customFormat="1" ht="13.5" customHeight="1" x14ac:dyDescent="0.2"/>
    <row r="727" s="51" customFormat="1" ht="13.5" customHeight="1" x14ac:dyDescent="0.2"/>
    <row r="728" s="51" customFormat="1" ht="13.5" customHeight="1" x14ac:dyDescent="0.2"/>
    <row r="729" s="51" customFormat="1" ht="13.5" customHeight="1" x14ac:dyDescent="0.2"/>
    <row r="730" s="51" customFormat="1" ht="13.5" customHeight="1" x14ac:dyDescent="0.2"/>
    <row r="731" s="51" customFormat="1" ht="13.5" customHeight="1" x14ac:dyDescent="0.2"/>
    <row r="732" s="51" customFormat="1" ht="13.5" customHeight="1" x14ac:dyDescent="0.2"/>
    <row r="733" s="51" customFormat="1" ht="13.5" customHeight="1" x14ac:dyDescent="0.2"/>
    <row r="734" s="51" customFormat="1" ht="13.5" customHeight="1" x14ac:dyDescent="0.2"/>
    <row r="735" s="51" customFormat="1" ht="13.5" customHeight="1" x14ac:dyDescent="0.2"/>
    <row r="736" s="51" customFormat="1" ht="13.5" customHeight="1" x14ac:dyDescent="0.2"/>
    <row r="737" s="51" customFormat="1" ht="13.5" customHeight="1" x14ac:dyDescent="0.2"/>
    <row r="738" s="51" customFormat="1" ht="13.5" customHeight="1" x14ac:dyDescent="0.2"/>
    <row r="739" s="51" customFormat="1" ht="13.5" customHeight="1" x14ac:dyDescent="0.2"/>
    <row r="740" s="51" customFormat="1" ht="13.5" customHeight="1" x14ac:dyDescent="0.2"/>
    <row r="741" s="51" customFormat="1" ht="13.5" customHeight="1" x14ac:dyDescent="0.2"/>
    <row r="742" s="51" customFormat="1" ht="13.5" customHeight="1" x14ac:dyDescent="0.2"/>
    <row r="743" s="51" customFormat="1" ht="13.5" customHeight="1" x14ac:dyDescent="0.2"/>
    <row r="744" s="51" customFormat="1" ht="13.5" customHeight="1" x14ac:dyDescent="0.2"/>
    <row r="745" s="51" customFormat="1" ht="13.5" customHeight="1" x14ac:dyDescent="0.2"/>
    <row r="746" s="51" customFormat="1" ht="13.5" customHeight="1" x14ac:dyDescent="0.2"/>
    <row r="747" s="51" customFormat="1" ht="13.5" customHeight="1" x14ac:dyDescent="0.2"/>
    <row r="748" s="51" customFormat="1" ht="13.5" customHeight="1" x14ac:dyDescent="0.2"/>
    <row r="749" s="51" customFormat="1" ht="13.5" customHeight="1" x14ac:dyDescent="0.2"/>
    <row r="750" s="51" customFormat="1" ht="13.5" customHeight="1" x14ac:dyDescent="0.2"/>
    <row r="751" s="51" customFormat="1" ht="13.5" customHeight="1" x14ac:dyDescent="0.2"/>
    <row r="752" s="51" customFormat="1" ht="13.5" customHeight="1" x14ac:dyDescent="0.2"/>
    <row r="753" s="51" customFormat="1" ht="13.5" customHeight="1" x14ac:dyDescent="0.2"/>
    <row r="754" s="51" customFormat="1" ht="13.5" customHeight="1" x14ac:dyDescent="0.2"/>
    <row r="755" s="51" customFormat="1" ht="13.5" customHeight="1" x14ac:dyDescent="0.2"/>
    <row r="756" s="51" customFormat="1" ht="13.5" customHeight="1" x14ac:dyDescent="0.2"/>
    <row r="757" s="51" customFormat="1" ht="13.5" customHeight="1" x14ac:dyDescent="0.2"/>
    <row r="758" s="51" customFormat="1" ht="13.5" customHeight="1" x14ac:dyDescent="0.2"/>
    <row r="759" s="51" customFormat="1" ht="13.5" customHeight="1" x14ac:dyDescent="0.2"/>
    <row r="760" s="51" customFormat="1" ht="13.5" customHeight="1" x14ac:dyDescent="0.2"/>
    <row r="761" s="51" customFormat="1" ht="13.5" customHeight="1" x14ac:dyDescent="0.2"/>
    <row r="762" s="51" customFormat="1" ht="13.5" customHeight="1" x14ac:dyDescent="0.2"/>
    <row r="763" s="51" customFormat="1" ht="13.5" customHeight="1" x14ac:dyDescent="0.2"/>
    <row r="764" s="51" customFormat="1" ht="13.5" customHeight="1" x14ac:dyDescent="0.2"/>
    <row r="765" s="51" customFormat="1" ht="13.5" customHeight="1" x14ac:dyDescent="0.2"/>
    <row r="766" s="51" customFormat="1" ht="13.5" customHeight="1" x14ac:dyDescent="0.2"/>
    <row r="767" s="51" customFormat="1" ht="13.5" customHeight="1" x14ac:dyDescent="0.2"/>
    <row r="768" s="51" customFormat="1" ht="13.5" customHeight="1" x14ac:dyDescent="0.2"/>
    <row r="769" s="51" customFormat="1" ht="13.5" customHeight="1" x14ac:dyDescent="0.2"/>
    <row r="770" s="51" customFormat="1" ht="13.5" customHeight="1" x14ac:dyDescent="0.2"/>
    <row r="771" s="51" customFormat="1" ht="13.5" customHeight="1" x14ac:dyDescent="0.2"/>
    <row r="772" s="51" customFormat="1" ht="13.5" customHeight="1" x14ac:dyDescent="0.2"/>
    <row r="773" s="51" customFormat="1" ht="13.5" customHeight="1" x14ac:dyDescent="0.2"/>
    <row r="774" s="51" customFormat="1" ht="13.5" customHeight="1" x14ac:dyDescent="0.2"/>
    <row r="775" s="51" customFormat="1" ht="13.5" customHeight="1" x14ac:dyDescent="0.2"/>
    <row r="776" s="51" customFormat="1" ht="13.5" customHeight="1" x14ac:dyDescent="0.2"/>
    <row r="777" s="51" customFormat="1" ht="13.5" customHeight="1" x14ac:dyDescent="0.2"/>
    <row r="778" s="51" customFormat="1" ht="13.5" customHeight="1" x14ac:dyDescent="0.2"/>
    <row r="779" s="51" customFormat="1" ht="13.5" customHeight="1" x14ac:dyDescent="0.2"/>
    <row r="780" s="51" customFormat="1" ht="13.5" customHeight="1" x14ac:dyDescent="0.2"/>
    <row r="781" s="51" customFormat="1" ht="13.5" customHeight="1" x14ac:dyDescent="0.2"/>
    <row r="782" s="51" customFormat="1" ht="13.5" customHeight="1" x14ac:dyDescent="0.2"/>
    <row r="783" s="51" customFormat="1" ht="13.5" customHeight="1" x14ac:dyDescent="0.2"/>
    <row r="784" s="51" customFormat="1" ht="13.5" customHeight="1" x14ac:dyDescent="0.2"/>
    <row r="785" s="51" customFormat="1" ht="13.5" customHeight="1" x14ac:dyDescent="0.2"/>
    <row r="786" s="51" customFormat="1" ht="13.5" customHeight="1" x14ac:dyDescent="0.2"/>
    <row r="787" s="51" customFormat="1" ht="13.5" customHeight="1" x14ac:dyDescent="0.2"/>
    <row r="788" s="51" customFormat="1" ht="13.5" customHeight="1" x14ac:dyDescent="0.2"/>
    <row r="789" s="51" customFormat="1" ht="13.5" customHeight="1" x14ac:dyDescent="0.2"/>
    <row r="790" s="51" customFormat="1" ht="13.5" customHeight="1" x14ac:dyDescent="0.2"/>
    <row r="791" s="51" customFormat="1" ht="13.5" customHeight="1" x14ac:dyDescent="0.2"/>
    <row r="792" s="51" customFormat="1" ht="13.5" customHeight="1" x14ac:dyDescent="0.2"/>
    <row r="793" s="51" customFormat="1" ht="13.5" customHeight="1" x14ac:dyDescent="0.2"/>
    <row r="794" s="51" customFormat="1" ht="13.5" customHeight="1" x14ac:dyDescent="0.2"/>
    <row r="795" s="51" customFormat="1" ht="13.5" customHeight="1" x14ac:dyDescent="0.2"/>
    <row r="796" s="51" customFormat="1" ht="13.5" customHeight="1" x14ac:dyDescent="0.2"/>
    <row r="797" s="51" customFormat="1" ht="13.5" customHeight="1" x14ac:dyDescent="0.2"/>
    <row r="798" s="51" customFormat="1" ht="13.5" customHeight="1" x14ac:dyDescent="0.2"/>
    <row r="799" s="51" customFormat="1" ht="13.5" customHeight="1" x14ac:dyDescent="0.2"/>
    <row r="800" s="51" customFormat="1" ht="13.5" customHeight="1" x14ac:dyDescent="0.2"/>
    <row r="801" s="51" customFormat="1" ht="13.5" customHeight="1" x14ac:dyDescent="0.2"/>
    <row r="802" s="51" customFormat="1" ht="13.5" customHeight="1" x14ac:dyDescent="0.2"/>
    <row r="803" s="51" customFormat="1" ht="13.5" customHeight="1" x14ac:dyDescent="0.2"/>
    <row r="804" s="51" customFormat="1" ht="13.5" customHeight="1" x14ac:dyDescent="0.2"/>
    <row r="805" s="51" customFormat="1" ht="13.5" customHeight="1" x14ac:dyDescent="0.2"/>
    <row r="806" s="51" customFormat="1" ht="13.5" customHeight="1" x14ac:dyDescent="0.2"/>
    <row r="807" s="51" customFormat="1" ht="13.5" customHeight="1" x14ac:dyDescent="0.2"/>
    <row r="808" s="51" customFormat="1" ht="13.5" customHeight="1" x14ac:dyDescent="0.2"/>
    <row r="809" s="51" customFormat="1" ht="13.5" customHeight="1" x14ac:dyDescent="0.2"/>
    <row r="810" s="51" customFormat="1" ht="13.5" customHeight="1" x14ac:dyDescent="0.2"/>
    <row r="811" s="51" customFormat="1" ht="13.5" customHeight="1" x14ac:dyDescent="0.2"/>
    <row r="812" s="51" customFormat="1" ht="13.5" customHeight="1" x14ac:dyDescent="0.2"/>
    <row r="813" s="51" customFormat="1" ht="13.5" customHeight="1" x14ac:dyDescent="0.2"/>
    <row r="814" s="51" customFormat="1" ht="13.5" customHeight="1" x14ac:dyDescent="0.2"/>
    <row r="815" s="51" customFormat="1" ht="13.5" customHeight="1" x14ac:dyDescent="0.2"/>
    <row r="816" s="51" customFormat="1" ht="13.5" customHeight="1" x14ac:dyDescent="0.2"/>
    <row r="817" s="51" customFormat="1" ht="13.5" customHeight="1" x14ac:dyDescent="0.2"/>
    <row r="818" s="51" customFormat="1" ht="13.5" customHeight="1" x14ac:dyDescent="0.2"/>
    <row r="819" s="51" customFormat="1" ht="13.5" customHeight="1" x14ac:dyDescent="0.2"/>
    <row r="820" s="51" customFormat="1" ht="13.5" customHeight="1" x14ac:dyDescent="0.2"/>
    <row r="821" s="51" customFormat="1" ht="13.5" customHeight="1" x14ac:dyDescent="0.2"/>
    <row r="822" s="51" customFormat="1" ht="13.5" customHeight="1" x14ac:dyDescent="0.2"/>
    <row r="823" s="51" customFormat="1" ht="13.5" customHeight="1" x14ac:dyDescent="0.2"/>
    <row r="824" s="51" customFormat="1" ht="13.5" customHeight="1" x14ac:dyDescent="0.2"/>
    <row r="825" s="51" customFormat="1" ht="13.5" customHeight="1" x14ac:dyDescent="0.2"/>
    <row r="826" s="51" customFormat="1" ht="13.5" customHeight="1" x14ac:dyDescent="0.2"/>
    <row r="827" s="51" customFormat="1" ht="13.5" customHeight="1" x14ac:dyDescent="0.2"/>
    <row r="828" s="51" customFormat="1" ht="13.5" customHeight="1" x14ac:dyDescent="0.2"/>
    <row r="829" s="51" customFormat="1" ht="13.5" customHeight="1" x14ac:dyDescent="0.2"/>
    <row r="830" s="51" customFormat="1" ht="13.5" customHeight="1" x14ac:dyDescent="0.2"/>
    <row r="831" s="51" customFormat="1" ht="13.5" customHeight="1" x14ac:dyDescent="0.2"/>
    <row r="832" s="51" customFormat="1" ht="13.5" customHeight="1" x14ac:dyDescent="0.2"/>
    <row r="833" s="51" customFormat="1" ht="13.5" customHeight="1" x14ac:dyDescent="0.2"/>
    <row r="834" s="51" customFormat="1" ht="13.5" customHeight="1" x14ac:dyDescent="0.2"/>
    <row r="835" s="51" customFormat="1" ht="13.5" customHeight="1" x14ac:dyDescent="0.2"/>
    <row r="836" s="51" customFormat="1" ht="13.5" customHeight="1" x14ac:dyDescent="0.2"/>
    <row r="837" s="51" customFormat="1" ht="13.5" customHeight="1" x14ac:dyDescent="0.2"/>
    <row r="838" s="51" customFormat="1" ht="13.5" customHeight="1" x14ac:dyDescent="0.2"/>
    <row r="839" s="51" customFormat="1" ht="13.5" customHeight="1" x14ac:dyDescent="0.2"/>
    <row r="840" s="51" customFormat="1" ht="13.5" customHeight="1" x14ac:dyDescent="0.2"/>
    <row r="841" s="51" customFormat="1" ht="13.5" customHeight="1" x14ac:dyDescent="0.2"/>
    <row r="842" s="51" customFormat="1" ht="13.5" customHeight="1" x14ac:dyDescent="0.2"/>
    <row r="843" s="51" customFormat="1" ht="13.5" customHeight="1" x14ac:dyDescent="0.2"/>
    <row r="844" s="51" customFormat="1" ht="13.5" customHeight="1" x14ac:dyDescent="0.2"/>
    <row r="845" s="51" customFormat="1" ht="13.5" customHeight="1" x14ac:dyDescent="0.2"/>
    <row r="846" s="51" customFormat="1" ht="13.5" customHeight="1" x14ac:dyDescent="0.2"/>
    <row r="847" s="51" customFormat="1" ht="13.5" customHeight="1" x14ac:dyDescent="0.2"/>
    <row r="848" s="51" customFormat="1" ht="13.5" customHeight="1" x14ac:dyDescent="0.2"/>
    <row r="849" s="51" customFormat="1" ht="13.5" customHeight="1" x14ac:dyDescent="0.2"/>
    <row r="850" s="51" customFormat="1" ht="13.5" customHeight="1" x14ac:dyDescent="0.2"/>
    <row r="851" s="51" customFormat="1" ht="13.5" customHeight="1" x14ac:dyDescent="0.2"/>
    <row r="852" s="51" customFormat="1" ht="13.5" customHeight="1" x14ac:dyDescent="0.2"/>
    <row r="853" s="51" customFormat="1" ht="13.5" customHeight="1" x14ac:dyDescent="0.2"/>
    <row r="854" s="51" customFormat="1" ht="13.5" customHeight="1" x14ac:dyDescent="0.2"/>
    <row r="855" s="51" customFormat="1" ht="13.5" customHeight="1" x14ac:dyDescent="0.2"/>
    <row r="856" s="51" customFormat="1" ht="13.5" customHeight="1" x14ac:dyDescent="0.2"/>
    <row r="857" s="51" customFormat="1" ht="13.5" customHeight="1" x14ac:dyDescent="0.2"/>
    <row r="858" s="51" customFormat="1" ht="13.5" customHeight="1" x14ac:dyDescent="0.2"/>
    <row r="859" s="51" customFormat="1" ht="13.5" customHeight="1" x14ac:dyDescent="0.2"/>
    <row r="860" s="51" customFormat="1" ht="13.5" customHeight="1" x14ac:dyDescent="0.2"/>
    <row r="861" s="51" customFormat="1" ht="13.5" customHeight="1" x14ac:dyDescent="0.2"/>
    <row r="862" s="51" customFormat="1" ht="13.5" customHeight="1" x14ac:dyDescent="0.2"/>
    <row r="863" s="51" customFormat="1" ht="13.5" customHeight="1" x14ac:dyDescent="0.2"/>
    <row r="864" s="51" customFormat="1" ht="13.5" customHeight="1" x14ac:dyDescent="0.2"/>
    <row r="865" s="51" customFormat="1" ht="13.5" customHeight="1" x14ac:dyDescent="0.2"/>
    <row r="866" s="51" customFormat="1" ht="13.5" customHeight="1" x14ac:dyDescent="0.2"/>
    <row r="867" s="51" customFormat="1" ht="13.5" customHeight="1" x14ac:dyDescent="0.2"/>
    <row r="868" s="51" customFormat="1" ht="13.5" customHeight="1" x14ac:dyDescent="0.2"/>
    <row r="869" s="51" customFormat="1" ht="13.5" customHeight="1" x14ac:dyDescent="0.2"/>
    <row r="870" s="51" customFormat="1" ht="13.5" customHeight="1" x14ac:dyDescent="0.2"/>
    <row r="871" s="51" customFormat="1" ht="13.5" customHeight="1" x14ac:dyDescent="0.2"/>
    <row r="872" s="51" customFormat="1" ht="13.5" customHeight="1" x14ac:dyDescent="0.2"/>
    <row r="873" s="51" customFormat="1" ht="13.5" customHeight="1" x14ac:dyDescent="0.2"/>
    <row r="874" s="51" customFormat="1" ht="13.5" customHeight="1" x14ac:dyDescent="0.2"/>
    <row r="875" s="51" customFormat="1" ht="13.5" customHeight="1" x14ac:dyDescent="0.2"/>
    <row r="876" s="51" customFormat="1" ht="13.5" customHeight="1" x14ac:dyDescent="0.2"/>
    <row r="877" s="51" customFormat="1" ht="13.5" customHeight="1" x14ac:dyDescent="0.2"/>
    <row r="878" s="51" customFormat="1" ht="13.5" customHeight="1" x14ac:dyDescent="0.2"/>
    <row r="879" s="51" customFormat="1" ht="13.5" customHeight="1" x14ac:dyDescent="0.2"/>
    <row r="880" s="51" customFormat="1" ht="13.5" customHeight="1" x14ac:dyDescent="0.2"/>
    <row r="881" s="51" customFormat="1" ht="13.5" customHeight="1" x14ac:dyDescent="0.2"/>
    <row r="882" s="51" customFormat="1" ht="13.5" customHeight="1" x14ac:dyDescent="0.2"/>
    <row r="883" s="51" customFormat="1" ht="13.5" customHeight="1" x14ac:dyDescent="0.2"/>
    <row r="884" s="51" customFormat="1" ht="13.5" customHeight="1" x14ac:dyDescent="0.2"/>
    <row r="885" s="51" customFormat="1" ht="13.5" customHeight="1" x14ac:dyDescent="0.2"/>
    <row r="886" s="51" customFormat="1" ht="13.5" customHeight="1" x14ac:dyDescent="0.2"/>
    <row r="887" s="51" customFormat="1" ht="13.5" customHeight="1" x14ac:dyDescent="0.2"/>
    <row r="888" s="51" customFormat="1" ht="13.5" customHeight="1" x14ac:dyDescent="0.2"/>
    <row r="889" s="51" customFormat="1" ht="13.5" customHeight="1" x14ac:dyDescent="0.2"/>
    <row r="890" s="51" customFormat="1" ht="13.5" customHeight="1" x14ac:dyDescent="0.2"/>
    <row r="891" s="51" customFormat="1" ht="13.5" customHeight="1" x14ac:dyDescent="0.2"/>
    <row r="892" s="51" customFormat="1" ht="13.5" customHeight="1" x14ac:dyDescent="0.2"/>
    <row r="893" s="51" customFormat="1" ht="13.5" customHeight="1" x14ac:dyDescent="0.2"/>
    <row r="894" s="51" customFormat="1" ht="13.5" customHeight="1" x14ac:dyDescent="0.2"/>
    <row r="895" s="51" customFormat="1" ht="13.5" customHeight="1" x14ac:dyDescent="0.2"/>
    <row r="896" s="51" customFormat="1" ht="13.5" customHeight="1" x14ac:dyDescent="0.2"/>
    <row r="897" s="51" customFormat="1" ht="13.5" customHeight="1" x14ac:dyDescent="0.2"/>
    <row r="898" s="51" customFormat="1" ht="13.5" customHeight="1" x14ac:dyDescent="0.2"/>
    <row r="899" s="51" customFormat="1" ht="13.5" customHeight="1" x14ac:dyDescent="0.2"/>
    <row r="900" s="51" customFormat="1" ht="13.5" customHeight="1" x14ac:dyDescent="0.2"/>
    <row r="901" s="51" customFormat="1" ht="13.5" customHeight="1" x14ac:dyDescent="0.2"/>
    <row r="902" s="51" customFormat="1" ht="13.5" customHeight="1" x14ac:dyDescent="0.2"/>
    <row r="903" s="51" customFormat="1" ht="13.5" customHeight="1" x14ac:dyDescent="0.2"/>
    <row r="904" s="51" customFormat="1" ht="13.5" customHeight="1" x14ac:dyDescent="0.2"/>
    <row r="905" s="51" customFormat="1" ht="13.5" customHeight="1" x14ac:dyDescent="0.2"/>
    <row r="906" s="51" customFormat="1" ht="13.5" customHeight="1" x14ac:dyDescent="0.2"/>
    <row r="907" s="51" customFormat="1" ht="13.5" customHeight="1" x14ac:dyDescent="0.2"/>
    <row r="908" s="51" customFormat="1" ht="13.5" customHeight="1" x14ac:dyDescent="0.2"/>
    <row r="909" s="51" customFormat="1" ht="13.5" customHeight="1" x14ac:dyDescent="0.2"/>
    <row r="910" s="51" customFormat="1" ht="13.5" customHeight="1" x14ac:dyDescent="0.2"/>
    <row r="911" s="51" customFormat="1" ht="13.5" customHeight="1" x14ac:dyDescent="0.2"/>
    <row r="912" s="51" customFormat="1" ht="13.5" customHeight="1" x14ac:dyDescent="0.2"/>
    <row r="913" s="51" customFormat="1" ht="13.5" customHeight="1" x14ac:dyDescent="0.2"/>
    <row r="914" s="51" customFormat="1" ht="13.5" customHeight="1" x14ac:dyDescent="0.2"/>
    <row r="915" s="51" customFormat="1" ht="13.5" customHeight="1" x14ac:dyDescent="0.2"/>
    <row r="916" s="51" customFormat="1" ht="13.5" customHeight="1" x14ac:dyDescent="0.2"/>
    <row r="917" s="51" customFormat="1" ht="13.5" customHeight="1" x14ac:dyDescent="0.2"/>
    <row r="918" s="51" customFormat="1" ht="13.5" customHeight="1" x14ac:dyDescent="0.2"/>
    <row r="919" s="51" customFormat="1" ht="13.5" customHeight="1" x14ac:dyDescent="0.2"/>
    <row r="920" s="51" customFormat="1" ht="13.5" customHeight="1" x14ac:dyDescent="0.2"/>
    <row r="921" s="51" customFormat="1" ht="13.5" customHeight="1" x14ac:dyDescent="0.2"/>
    <row r="922" s="51" customFormat="1" ht="13.5" customHeight="1" x14ac:dyDescent="0.2"/>
    <row r="923" s="51" customFormat="1" ht="13.5" customHeight="1" x14ac:dyDescent="0.2"/>
    <row r="924" s="51" customFormat="1" ht="13.5" customHeight="1" x14ac:dyDescent="0.2"/>
    <row r="925" s="51" customFormat="1" ht="13.5" customHeight="1" x14ac:dyDescent="0.2"/>
    <row r="926" s="51" customFormat="1" ht="13.5" customHeight="1" x14ac:dyDescent="0.2"/>
    <row r="927" s="51" customFormat="1" ht="13.5" customHeight="1" x14ac:dyDescent="0.2"/>
    <row r="928" s="51" customFormat="1" ht="13.5" customHeight="1" x14ac:dyDescent="0.2"/>
    <row r="929" s="51" customFormat="1" ht="13.5" customHeight="1" x14ac:dyDescent="0.2"/>
    <row r="930" s="51" customFormat="1" ht="13.5" customHeight="1" x14ac:dyDescent="0.2"/>
    <row r="931" s="51" customFormat="1" ht="13.5" customHeight="1" x14ac:dyDescent="0.2"/>
    <row r="932" s="51" customFormat="1" ht="13.5" customHeight="1" x14ac:dyDescent="0.2"/>
    <row r="933" s="51" customFormat="1" ht="13.5" customHeight="1" x14ac:dyDescent="0.2"/>
    <row r="934" s="51" customFormat="1" ht="13.5" customHeight="1" x14ac:dyDescent="0.2"/>
    <row r="935" s="51" customFormat="1" ht="13.5" customHeight="1" x14ac:dyDescent="0.2"/>
    <row r="936" s="51" customFormat="1" ht="13.5" customHeight="1" x14ac:dyDescent="0.2"/>
    <row r="937" s="51" customFormat="1" ht="13.5" customHeight="1" x14ac:dyDescent="0.2"/>
    <row r="938" s="51" customFormat="1" ht="13.5" customHeight="1" x14ac:dyDescent="0.2"/>
    <row r="939" s="51" customFormat="1" ht="13.5" customHeight="1" x14ac:dyDescent="0.2"/>
    <row r="940" s="51" customFormat="1" ht="13.5" customHeight="1" x14ac:dyDescent="0.2"/>
    <row r="941" s="51" customFormat="1" ht="13.5" customHeight="1" x14ac:dyDescent="0.2"/>
    <row r="942" s="51" customFormat="1" ht="13.5" customHeight="1" x14ac:dyDescent="0.2"/>
    <row r="943" s="51" customFormat="1" ht="13.5" customHeight="1" x14ac:dyDescent="0.2"/>
    <row r="944" s="51" customFormat="1" ht="13.5" customHeight="1" x14ac:dyDescent="0.2"/>
    <row r="945" s="51" customFormat="1" ht="13.5" customHeight="1" x14ac:dyDescent="0.2"/>
    <row r="946" s="51" customFormat="1" ht="13.5" customHeight="1" x14ac:dyDescent="0.2"/>
    <row r="947" s="51" customFormat="1" ht="13.5" customHeight="1" x14ac:dyDescent="0.2"/>
    <row r="948" s="51" customFormat="1" ht="13.5" customHeight="1" x14ac:dyDescent="0.2"/>
    <row r="949" s="51" customFormat="1" ht="13.5" customHeight="1" x14ac:dyDescent="0.2"/>
    <row r="950" s="51" customFormat="1" ht="13.5" customHeight="1" x14ac:dyDescent="0.2"/>
    <row r="951" s="51" customFormat="1" ht="13.5" customHeight="1" x14ac:dyDescent="0.2"/>
    <row r="952" s="51" customFormat="1" ht="13.5" customHeight="1" x14ac:dyDescent="0.2"/>
    <row r="953" s="51" customFormat="1" ht="13.5" customHeight="1" x14ac:dyDescent="0.2"/>
    <row r="954" s="51" customFormat="1" ht="13.5" customHeight="1" x14ac:dyDescent="0.2"/>
    <row r="955" s="51" customFormat="1" ht="13.5" customHeight="1" x14ac:dyDescent="0.2"/>
    <row r="956" s="51" customFormat="1" ht="13.5" customHeight="1" x14ac:dyDescent="0.2"/>
    <row r="957" s="51" customFormat="1" ht="13.5" customHeight="1" x14ac:dyDescent="0.2"/>
    <row r="958" s="51" customFormat="1" ht="13.5" customHeight="1" x14ac:dyDescent="0.2"/>
    <row r="959" s="51" customFormat="1" ht="13.5" customHeight="1" x14ac:dyDescent="0.2"/>
    <row r="960" s="51" customFormat="1" ht="13.5" customHeight="1" x14ac:dyDescent="0.2"/>
    <row r="961" s="51" customFormat="1" ht="13.5" customHeight="1" x14ac:dyDescent="0.2"/>
    <row r="962" s="51" customFormat="1" ht="13.5" customHeight="1" x14ac:dyDescent="0.2"/>
    <row r="963" s="51" customFormat="1" ht="13.5" customHeight="1" x14ac:dyDescent="0.2"/>
    <row r="964" s="51" customFormat="1" ht="13.5" customHeight="1" x14ac:dyDescent="0.2"/>
    <row r="965" s="51" customFormat="1" ht="13.5" customHeight="1" x14ac:dyDescent="0.2"/>
    <row r="966" s="51" customFormat="1" ht="13.5" customHeight="1" x14ac:dyDescent="0.2"/>
    <row r="967" s="51" customFormat="1" ht="13.5" customHeight="1" x14ac:dyDescent="0.2"/>
    <row r="968" s="51" customFormat="1" ht="13.5" customHeight="1" x14ac:dyDescent="0.2"/>
    <row r="969" s="51" customFormat="1" ht="13.5" customHeight="1" x14ac:dyDescent="0.2"/>
    <row r="970" s="51" customFormat="1" ht="13.5" customHeight="1" x14ac:dyDescent="0.2"/>
    <row r="971" s="51" customFormat="1" ht="13.5" customHeight="1" x14ac:dyDescent="0.2"/>
    <row r="972" s="51" customFormat="1" ht="13.5" customHeight="1" x14ac:dyDescent="0.2"/>
    <row r="973" s="51" customFormat="1" ht="13.5" customHeight="1" x14ac:dyDescent="0.2"/>
    <row r="974" s="51" customFormat="1" ht="13.5" customHeight="1" x14ac:dyDescent="0.2"/>
    <row r="975" s="51" customFormat="1" ht="13.5" customHeight="1" x14ac:dyDescent="0.2"/>
    <row r="976" s="51" customFormat="1" ht="13.5" customHeight="1" x14ac:dyDescent="0.2"/>
    <row r="977" s="51" customFormat="1" ht="13.5" customHeight="1" x14ac:dyDescent="0.2"/>
    <row r="978" s="51" customFormat="1" ht="13.5" customHeight="1" x14ac:dyDescent="0.2"/>
    <row r="979" s="51" customFormat="1" ht="13.5" customHeight="1" x14ac:dyDescent="0.2"/>
    <row r="980" s="51" customFormat="1" ht="13.5" customHeight="1" x14ac:dyDescent="0.2"/>
    <row r="981" s="51" customFormat="1" ht="13.5" customHeight="1" x14ac:dyDescent="0.2"/>
    <row r="982" s="51" customFormat="1" ht="13.5" customHeight="1" x14ac:dyDescent="0.2"/>
    <row r="983" s="51" customFormat="1" ht="13.5" customHeight="1" x14ac:dyDescent="0.2"/>
    <row r="984" s="51" customFormat="1" ht="13.5" customHeight="1" x14ac:dyDescent="0.2"/>
    <row r="985" s="51" customFormat="1" ht="13.5" customHeight="1" x14ac:dyDescent="0.2"/>
    <row r="986" s="51" customFormat="1" ht="13.5" customHeight="1" x14ac:dyDescent="0.2"/>
    <row r="987" s="51" customFormat="1" ht="13.5" customHeight="1" x14ac:dyDescent="0.2"/>
    <row r="988" s="51" customFormat="1" ht="13.5" customHeight="1" x14ac:dyDescent="0.2"/>
    <row r="989" s="51" customFormat="1" ht="13.5" customHeight="1" x14ac:dyDescent="0.2"/>
    <row r="990" s="51" customFormat="1" ht="13.5" customHeight="1" x14ac:dyDescent="0.2"/>
    <row r="991" s="51" customFormat="1" ht="13.5" customHeight="1" x14ac:dyDescent="0.2"/>
    <row r="992" s="51" customFormat="1" ht="13.5" customHeight="1" x14ac:dyDescent="0.2"/>
    <row r="993" s="51" customFormat="1" ht="13.5" customHeight="1" x14ac:dyDescent="0.2"/>
    <row r="994" s="51" customFormat="1" ht="13.5" customHeight="1" x14ac:dyDescent="0.2"/>
    <row r="995" s="51" customFormat="1" ht="13.5" customHeight="1" x14ac:dyDescent="0.2"/>
    <row r="996" s="51" customFormat="1" ht="13.5" customHeight="1" x14ac:dyDescent="0.2"/>
    <row r="997" s="51" customFormat="1" ht="13.5" customHeight="1" x14ac:dyDescent="0.2"/>
    <row r="998" s="51" customFormat="1" ht="13.5" customHeight="1" x14ac:dyDescent="0.2"/>
    <row r="999" s="51" customFormat="1" ht="13.5" customHeight="1" x14ac:dyDescent="0.2"/>
  </sheetData>
  <mergeCells count="3">
    <mergeCell ref="B2:H3"/>
    <mergeCell ref="C5:G5"/>
    <mergeCell ref="B63:H63"/>
  </mergeCells>
  <conditionalFormatting sqref="F64">
    <cfRule type="cellIs" dxfId="12" priority="1" operator="equal">
      <formula>0</formula>
    </cfRule>
    <cfRule type="cellIs" dxfId="11" priority="2" operator="notEqual">
      <formula>0</formula>
    </cfRule>
  </conditionalFormatting>
  <dataValidations count="1">
    <dataValidation type="list" allowBlank="1" sqref="C5" xr:uid="{00000000-0002-0000-0100-000000000000}">
      <formula1>"Base,Growth,Downside"</formula1>
    </dataValidation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263238"/>
  </sheetPr>
  <dimension ref="B2:O1001"/>
  <sheetViews>
    <sheetView showGridLines="0" workbookViewId="0">
      <selection activeCell="B23" sqref="B23:N23"/>
    </sheetView>
  </sheetViews>
  <sheetFormatPr baseColWidth="10" defaultColWidth="12.6640625" defaultRowHeight="15" customHeight="1" x14ac:dyDescent="0.2"/>
  <cols>
    <col min="1" max="1" width="3.33203125" style="51" customWidth="1"/>
    <col min="2" max="2" width="3" style="51" customWidth="1"/>
    <col min="3" max="3" width="12" style="51" customWidth="1"/>
    <col min="4" max="4" width="3" style="51" customWidth="1"/>
    <col min="5" max="9" width="18" style="51" customWidth="1"/>
    <col min="10" max="27" width="8.83203125" style="51" customWidth="1"/>
    <col min="28" max="16384" width="12.6640625" style="51"/>
  </cols>
  <sheetData>
    <row r="2" spans="2:15" ht="13.5" customHeight="1" x14ac:dyDescent="0.2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2:15" ht="13.5" customHeight="1" x14ac:dyDescent="0.2">
      <c r="B3" s="36"/>
      <c r="C3" s="57" t="s">
        <v>382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9"/>
    </row>
    <row r="4" spans="2:15" ht="13.5" customHeight="1" x14ac:dyDescent="0.2">
      <c r="B4" s="36"/>
      <c r="C4" s="60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2"/>
    </row>
    <row r="5" spans="2:15" ht="13.5" customHeight="1" x14ac:dyDescent="0.2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2:15" ht="13.5" customHeight="1" x14ac:dyDescent="0.2">
      <c r="B6" s="36"/>
      <c r="C6" s="37" t="s">
        <v>383</v>
      </c>
      <c r="D6" s="36"/>
      <c r="E6" s="73" t="s">
        <v>384</v>
      </c>
      <c r="F6" s="67"/>
      <c r="G6" s="67"/>
      <c r="H6" s="67"/>
      <c r="I6" s="68"/>
      <c r="J6" s="36"/>
      <c r="K6" s="36"/>
      <c r="L6" s="36"/>
      <c r="M6" s="36"/>
      <c r="N6" s="36"/>
      <c r="O6" s="36"/>
    </row>
    <row r="7" spans="2:15" ht="13.5" customHeight="1" x14ac:dyDescent="0.2"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2:15" ht="13.5" customHeight="1" x14ac:dyDescent="0.2"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2:15" ht="13.5" customHeight="1" x14ac:dyDescent="0.2"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2:15" ht="13.5" customHeight="1" x14ac:dyDescent="0.2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2:15" ht="13.5" customHeight="1" x14ac:dyDescent="0.2"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2:15" ht="13.5" customHeight="1" x14ac:dyDescent="0.2"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</row>
    <row r="13" spans="2:15" ht="13.5" customHeight="1" x14ac:dyDescent="0.2"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</row>
    <row r="14" spans="2:15" ht="13.5" customHeight="1" x14ac:dyDescent="0.2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</row>
    <row r="15" spans="2:15" ht="13.5" customHeigh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</row>
    <row r="16" spans="2:15" ht="13.5" customHeight="1" x14ac:dyDescent="0.2"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7" spans="2:15" ht="13.5" customHeight="1" x14ac:dyDescent="0.2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18" spans="2:15" ht="13.5" customHeigh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2:15" ht="13.5" customHeight="1" x14ac:dyDescent="0.2"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pans="2:15" ht="13.5" customHeight="1" x14ac:dyDescent="0.2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1" spans="2:15" ht="13.5" customHeight="1" x14ac:dyDescent="0.2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2:15" ht="13.5" customHeight="1" x14ac:dyDescent="0.2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</row>
    <row r="23" spans="2:15" ht="13.5" customHeight="1" x14ac:dyDescent="0.2"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</row>
    <row r="24" spans="2:15" ht="13.5" customHeight="1" x14ac:dyDescent="0.2"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</row>
    <row r="25" spans="2:15" ht="13.5" customHeight="1" x14ac:dyDescent="0.2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2:15" ht="13.5" customHeight="1" x14ac:dyDescent="0.2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</row>
    <row r="27" spans="2:15" ht="13.5" customHeight="1" x14ac:dyDescent="0.2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</row>
    <row r="28" spans="2:15" ht="13.5" customHeight="1" x14ac:dyDescent="0.2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</row>
    <row r="29" spans="2:15" ht="13.5" customHeight="1" x14ac:dyDescent="0.2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</row>
    <row r="30" spans="2:15" ht="13.5" customHeight="1" x14ac:dyDescent="0.2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</row>
    <row r="31" spans="2:15" ht="13.5" customHeight="1" x14ac:dyDescent="0.2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2" spans="2:15" ht="13.5" customHeight="1" x14ac:dyDescent="0.2"/>
    <row r="33" s="51" customFormat="1" ht="13.5" customHeight="1" x14ac:dyDescent="0.2"/>
    <row r="34" s="51" customFormat="1" ht="13.5" customHeight="1" x14ac:dyDescent="0.2"/>
    <row r="35" s="51" customFormat="1" ht="13.5" customHeight="1" x14ac:dyDescent="0.2"/>
    <row r="36" s="51" customFormat="1" ht="13.5" customHeight="1" x14ac:dyDescent="0.2"/>
    <row r="37" s="51" customFormat="1" ht="13.5" customHeight="1" x14ac:dyDescent="0.2"/>
    <row r="38" s="51" customFormat="1" ht="13.5" customHeight="1" x14ac:dyDescent="0.2"/>
    <row r="39" s="51" customFormat="1" ht="13.5" customHeight="1" x14ac:dyDescent="0.2"/>
    <row r="40" s="51" customFormat="1" ht="13.5" customHeight="1" x14ac:dyDescent="0.2"/>
    <row r="41" s="51" customFormat="1" ht="13.5" customHeight="1" x14ac:dyDescent="0.2"/>
    <row r="42" s="51" customFormat="1" ht="13.5" customHeight="1" x14ac:dyDescent="0.2"/>
    <row r="43" s="51" customFormat="1" ht="13.5" customHeight="1" x14ac:dyDescent="0.2"/>
    <row r="44" s="51" customFormat="1" ht="13.5" customHeight="1" x14ac:dyDescent="0.2"/>
    <row r="45" s="51" customFormat="1" ht="13.5" customHeight="1" x14ac:dyDescent="0.2"/>
    <row r="46" s="51" customFormat="1" ht="13.5" customHeight="1" x14ac:dyDescent="0.2"/>
    <row r="47" s="51" customFormat="1" ht="13.5" customHeight="1" x14ac:dyDescent="0.2"/>
    <row r="48" s="51" customFormat="1" ht="13.5" customHeight="1" x14ac:dyDescent="0.2"/>
    <row r="49" s="51" customFormat="1" ht="13.5" customHeight="1" x14ac:dyDescent="0.2"/>
    <row r="50" s="51" customFormat="1" ht="13.5" customHeight="1" x14ac:dyDescent="0.2"/>
    <row r="51" s="51" customFormat="1" ht="13.5" customHeight="1" x14ac:dyDescent="0.2"/>
    <row r="52" s="51" customFormat="1" ht="13.5" customHeight="1" x14ac:dyDescent="0.2"/>
    <row r="53" s="51" customFormat="1" ht="13.5" customHeight="1" x14ac:dyDescent="0.2"/>
    <row r="54" s="51" customFormat="1" ht="13.5" customHeight="1" x14ac:dyDescent="0.2"/>
    <row r="55" s="51" customFormat="1" ht="13.5" customHeight="1" x14ac:dyDescent="0.2"/>
    <row r="56" s="51" customFormat="1" ht="13.5" customHeight="1" x14ac:dyDescent="0.2"/>
    <row r="57" s="51" customFormat="1" ht="13.5" customHeight="1" x14ac:dyDescent="0.2"/>
    <row r="58" s="51" customFormat="1" ht="13.5" customHeight="1" x14ac:dyDescent="0.2"/>
    <row r="59" s="51" customFormat="1" ht="13.5" customHeight="1" x14ac:dyDescent="0.2"/>
    <row r="60" s="51" customFormat="1" ht="13.5" customHeight="1" x14ac:dyDescent="0.2"/>
    <row r="61" s="51" customFormat="1" ht="13.5" customHeight="1" x14ac:dyDescent="0.2"/>
    <row r="62" s="51" customFormat="1" ht="13.5" customHeight="1" x14ac:dyDescent="0.2"/>
    <row r="63" s="51" customFormat="1" ht="13.5" customHeight="1" x14ac:dyDescent="0.2"/>
    <row r="64" s="51" customFormat="1" ht="13.5" customHeight="1" x14ac:dyDescent="0.2"/>
    <row r="65" s="51" customFormat="1" ht="13.5" customHeight="1" x14ac:dyDescent="0.2"/>
    <row r="66" s="51" customFormat="1" ht="13.5" customHeight="1" x14ac:dyDescent="0.2"/>
    <row r="67" s="51" customFormat="1" ht="13.5" customHeight="1" x14ac:dyDescent="0.2"/>
    <row r="68" s="51" customFormat="1" ht="13.5" customHeight="1" x14ac:dyDescent="0.2"/>
    <row r="69" s="51" customFormat="1" ht="13.5" customHeight="1" x14ac:dyDescent="0.2"/>
    <row r="70" s="51" customFormat="1" ht="13.5" customHeight="1" x14ac:dyDescent="0.2"/>
    <row r="71" s="51" customFormat="1" ht="13.5" customHeight="1" x14ac:dyDescent="0.2"/>
    <row r="72" s="51" customFormat="1" ht="13.5" customHeight="1" x14ac:dyDescent="0.2"/>
    <row r="73" s="51" customFormat="1" ht="13.5" customHeight="1" x14ac:dyDescent="0.2"/>
    <row r="74" s="51" customFormat="1" ht="13.5" customHeight="1" x14ac:dyDescent="0.2"/>
    <row r="75" s="51" customFormat="1" ht="13.5" customHeight="1" x14ac:dyDescent="0.2"/>
    <row r="76" s="51" customFormat="1" ht="13.5" customHeight="1" x14ac:dyDescent="0.2"/>
    <row r="77" s="51" customFormat="1" ht="13.5" customHeight="1" x14ac:dyDescent="0.2"/>
    <row r="78" s="51" customFormat="1" ht="13.5" customHeight="1" x14ac:dyDescent="0.2"/>
    <row r="79" s="51" customFormat="1" ht="13.5" customHeight="1" x14ac:dyDescent="0.2"/>
    <row r="80" s="51" customFormat="1" ht="13.5" customHeight="1" x14ac:dyDescent="0.2"/>
    <row r="81" s="51" customFormat="1" ht="13.5" customHeight="1" x14ac:dyDescent="0.2"/>
    <row r="82" s="51" customFormat="1" ht="13.5" customHeight="1" x14ac:dyDescent="0.2"/>
    <row r="83" s="51" customFormat="1" ht="13.5" customHeight="1" x14ac:dyDescent="0.2"/>
    <row r="84" s="51" customFormat="1" ht="13.5" customHeight="1" x14ac:dyDescent="0.2"/>
    <row r="85" s="51" customFormat="1" ht="13.5" customHeight="1" x14ac:dyDescent="0.2"/>
    <row r="86" s="51" customFormat="1" ht="13.5" customHeight="1" x14ac:dyDescent="0.2"/>
    <row r="87" s="51" customFormat="1" ht="13.5" customHeight="1" x14ac:dyDescent="0.2"/>
    <row r="88" s="51" customFormat="1" ht="13.5" customHeight="1" x14ac:dyDescent="0.2"/>
    <row r="89" s="51" customFormat="1" ht="13.5" customHeight="1" x14ac:dyDescent="0.2"/>
    <row r="90" s="51" customFormat="1" ht="13.5" customHeight="1" x14ac:dyDescent="0.2"/>
    <row r="91" s="51" customFormat="1" ht="13.5" customHeight="1" x14ac:dyDescent="0.2"/>
    <row r="92" s="51" customFormat="1" ht="13.5" customHeight="1" x14ac:dyDescent="0.2"/>
    <row r="93" s="51" customFormat="1" ht="13.5" customHeight="1" x14ac:dyDescent="0.2"/>
    <row r="94" s="51" customFormat="1" ht="13.5" customHeight="1" x14ac:dyDescent="0.2"/>
    <row r="95" s="51" customFormat="1" ht="13.5" customHeight="1" x14ac:dyDescent="0.2"/>
    <row r="96" s="51" customFormat="1" ht="13.5" customHeight="1" x14ac:dyDescent="0.2"/>
    <row r="97" s="51" customFormat="1" ht="13.5" customHeight="1" x14ac:dyDescent="0.2"/>
    <row r="98" s="51" customFormat="1" ht="13.5" customHeight="1" x14ac:dyDescent="0.2"/>
    <row r="99" s="51" customFormat="1" ht="13.5" customHeight="1" x14ac:dyDescent="0.2"/>
    <row r="100" s="51" customFormat="1" ht="13.5" customHeight="1" x14ac:dyDescent="0.2"/>
    <row r="101" s="51" customFormat="1" ht="13.5" customHeight="1" x14ac:dyDescent="0.2"/>
    <row r="102" s="51" customFormat="1" ht="13.5" customHeight="1" x14ac:dyDescent="0.2"/>
    <row r="103" s="51" customFormat="1" ht="13.5" customHeight="1" x14ac:dyDescent="0.2"/>
    <row r="104" s="51" customFormat="1" ht="13.5" customHeight="1" x14ac:dyDescent="0.2"/>
    <row r="105" s="51" customFormat="1" ht="13.5" customHeight="1" x14ac:dyDescent="0.2"/>
    <row r="106" s="51" customFormat="1" ht="13.5" customHeight="1" x14ac:dyDescent="0.2"/>
    <row r="107" s="51" customFormat="1" ht="13.5" customHeight="1" x14ac:dyDescent="0.2"/>
    <row r="108" s="51" customFormat="1" ht="13.5" customHeight="1" x14ac:dyDescent="0.2"/>
    <row r="109" s="51" customFormat="1" ht="13.5" customHeight="1" x14ac:dyDescent="0.2"/>
    <row r="110" s="51" customFormat="1" ht="13.5" customHeight="1" x14ac:dyDescent="0.2"/>
    <row r="111" s="51" customFormat="1" ht="13.5" customHeight="1" x14ac:dyDescent="0.2"/>
    <row r="112" s="51" customFormat="1" ht="13.5" customHeight="1" x14ac:dyDescent="0.2"/>
    <row r="113" s="51" customFormat="1" ht="13.5" customHeight="1" x14ac:dyDescent="0.2"/>
    <row r="114" s="51" customFormat="1" ht="13.5" customHeight="1" x14ac:dyDescent="0.2"/>
    <row r="115" s="51" customFormat="1" ht="13.5" customHeight="1" x14ac:dyDescent="0.2"/>
    <row r="116" s="51" customFormat="1" ht="13.5" customHeight="1" x14ac:dyDescent="0.2"/>
    <row r="117" s="51" customFormat="1" ht="13.5" customHeight="1" x14ac:dyDescent="0.2"/>
    <row r="118" s="51" customFormat="1" ht="13.5" customHeight="1" x14ac:dyDescent="0.2"/>
    <row r="119" s="51" customFormat="1" ht="13.5" customHeight="1" x14ac:dyDescent="0.2"/>
    <row r="120" s="51" customFormat="1" ht="13.5" customHeight="1" x14ac:dyDescent="0.2"/>
    <row r="121" s="51" customFormat="1" ht="13.5" customHeight="1" x14ac:dyDescent="0.2"/>
    <row r="122" s="51" customFormat="1" ht="13.5" customHeight="1" x14ac:dyDescent="0.2"/>
    <row r="123" s="51" customFormat="1" ht="13.5" customHeight="1" x14ac:dyDescent="0.2"/>
    <row r="124" s="51" customFormat="1" ht="13.5" customHeight="1" x14ac:dyDescent="0.2"/>
    <row r="125" s="51" customFormat="1" ht="13.5" customHeight="1" x14ac:dyDescent="0.2"/>
    <row r="126" s="51" customFormat="1" ht="13.5" customHeight="1" x14ac:dyDescent="0.2"/>
    <row r="127" s="51" customFormat="1" ht="13.5" customHeight="1" x14ac:dyDescent="0.2"/>
    <row r="128" s="51" customFormat="1" ht="13.5" customHeight="1" x14ac:dyDescent="0.2"/>
    <row r="129" s="51" customFormat="1" ht="13.5" customHeight="1" x14ac:dyDescent="0.2"/>
    <row r="130" s="51" customFormat="1" ht="13.5" customHeight="1" x14ac:dyDescent="0.2"/>
    <row r="131" s="51" customFormat="1" ht="13.5" customHeight="1" x14ac:dyDescent="0.2"/>
    <row r="132" s="51" customFormat="1" ht="13.5" customHeight="1" x14ac:dyDescent="0.2"/>
    <row r="133" s="51" customFormat="1" ht="13.5" customHeight="1" x14ac:dyDescent="0.2"/>
    <row r="134" s="51" customFormat="1" ht="13.5" customHeight="1" x14ac:dyDescent="0.2"/>
    <row r="135" s="51" customFormat="1" ht="13.5" customHeight="1" x14ac:dyDescent="0.2"/>
    <row r="136" s="51" customFormat="1" ht="13.5" customHeight="1" x14ac:dyDescent="0.2"/>
    <row r="137" s="51" customFormat="1" ht="13.5" customHeight="1" x14ac:dyDescent="0.2"/>
    <row r="138" s="51" customFormat="1" ht="13.5" customHeight="1" x14ac:dyDescent="0.2"/>
    <row r="139" s="51" customFormat="1" ht="13.5" customHeight="1" x14ac:dyDescent="0.2"/>
    <row r="140" s="51" customFormat="1" ht="13.5" customHeight="1" x14ac:dyDescent="0.2"/>
    <row r="141" s="51" customFormat="1" ht="13.5" customHeight="1" x14ac:dyDescent="0.2"/>
    <row r="142" s="51" customFormat="1" ht="13.5" customHeight="1" x14ac:dyDescent="0.2"/>
    <row r="143" s="51" customFormat="1" ht="13.5" customHeight="1" x14ac:dyDescent="0.2"/>
    <row r="144" s="51" customFormat="1" ht="13.5" customHeight="1" x14ac:dyDescent="0.2"/>
    <row r="145" s="51" customFormat="1" ht="13.5" customHeight="1" x14ac:dyDescent="0.2"/>
    <row r="146" s="51" customFormat="1" ht="13.5" customHeight="1" x14ac:dyDescent="0.2"/>
    <row r="147" s="51" customFormat="1" ht="13.5" customHeight="1" x14ac:dyDescent="0.2"/>
    <row r="148" s="51" customFormat="1" ht="13.5" customHeight="1" x14ac:dyDescent="0.2"/>
    <row r="149" s="51" customFormat="1" ht="13.5" customHeight="1" x14ac:dyDescent="0.2"/>
    <row r="150" s="51" customFormat="1" ht="13.5" customHeight="1" x14ac:dyDescent="0.2"/>
    <row r="151" s="51" customFormat="1" ht="13.5" customHeight="1" x14ac:dyDescent="0.2"/>
    <row r="152" s="51" customFormat="1" ht="13.5" customHeight="1" x14ac:dyDescent="0.2"/>
    <row r="153" s="51" customFormat="1" ht="13.5" customHeight="1" x14ac:dyDescent="0.2"/>
    <row r="154" s="51" customFormat="1" ht="13.5" customHeight="1" x14ac:dyDescent="0.2"/>
    <row r="155" s="51" customFormat="1" ht="13.5" customHeight="1" x14ac:dyDescent="0.2"/>
    <row r="156" s="51" customFormat="1" ht="13.5" customHeight="1" x14ac:dyDescent="0.2"/>
    <row r="157" s="51" customFormat="1" ht="13.5" customHeight="1" x14ac:dyDescent="0.2"/>
    <row r="158" s="51" customFormat="1" ht="13.5" customHeight="1" x14ac:dyDescent="0.2"/>
    <row r="159" s="51" customFormat="1" ht="13.5" customHeight="1" x14ac:dyDescent="0.2"/>
    <row r="160" s="51" customFormat="1" ht="13.5" customHeight="1" x14ac:dyDescent="0.2"/>
    <row r="161" s="51" customFormat="1" ht="13.5" customHeight="1" x14ac:dyDescent="0.2"/>
    <row r="162" s="51" customFormat="1" ht="13.5" customHeight="1" x14ac:dyDescent="0.2"/>
    <row r="163" s="51" customFormat="1" ht="13.5" customHeight="1" x14ac:dyDescent="0.2"/>
    <row r="164" s="51" customFormat="1" ht="13.5" customHeight="1" x14ac:dyDescent="0.2"/>
    <row r="165" s="51" customFormat="1" ht="13.5" customHeight="1" x14ac:dyDescent="0.2"/>
    <row r="166" s="51" customFormat="1" ht="13.5" customHeight="1" x14ac:dyDescent="0.2"/>
    <row r="167" s="51" customFormat="1" ht="13.5" customHeight="1" x14ac:dyDescent="0.2"/>
    <row r="168" s="51" customFormat="1" ht="13.5" customHeight="1" x14ac:dyDescent="0.2"/>
    <row r="169" s="51" customFormat="1" ht="13.5" customHeight="1" x14ac:dyDescent="0.2"/>
    <row r="170" s="51" customFormat="1" ht="13.5" customHeight="1" x14ac:dyDescent="0.2"/>
    <row r="171" s="51" customFormat="1" ht="13.5" customHeight="1" x14ac:dyDescent="0.2"/>
    <row r="172" s="51" customFormat="1" ht="13.5" customHeight="1" x14ac:dyDescent="0.2"/>
    <row r="173" s="51" customFormat="1" ht="13.5" customHeight="1" x14ac:dyDescent="0.2"/>
    <row r="174" s="51" customFormat="1" ht="13.5" customHeight="1" x14ac:dyDescent="0.2"/>
    <row r="175" s="51" customFormat="1" ht="13.5" customHeight="1" x14ac:dyDescent="0.2"/>
    <row r="176" s="51" customFormat="1" ht="13.5" customHeight="1" x14ac:dyDescent="0.2"/>
    <row r="177" s="51" customFormat="1" ht="13.5" customHeight="1" x14ac:dyDescent="0.2"/>
    <row r="178" s="51" customFormat="1" ht="13.5" customHeight="1" x14ac:dyDescent="0.2"/>
    <row r="179" s="51" customFormat="1" ht="13.5" customHeight="1" x14ac:dyDescent="0.2"/>
    <row r="180" s="51" customFormat="1" ht="13.5" customHeight="1" x14ac:dyDescent="0.2"/>
    <row r="181" s="51" customFormat="1" ht="13.5" customHeight="1" x14ac:dyDescent="0.2"/>
    <row r="182" s="51" customFormat="1" ht="13.5" customHeight="1" x14ac:dyDescent="0.2"/>
    <row r="183" s="51" customFormat="1" ht="13.5" customHeight="1" x14ac:dyDescent="0.2"/>
    <row r="184" s="51" customFormat="1" ht="13.5" customHeight="1" x14ac:dyDescent="0.2"/>
    <row r="185" s="51" customFormat="1" ht="13.5" customHeight="1" x14ac:dyDescent="0.2"/>
    <row r="186" s="51" customFormat="1" ht="13.5" customHeight="1" x14ac:dyDescent="0.2"/>
    <row r="187" s="51" customFormat="1" ht="13.5" customHeight="1" x14ac:dyDescent="0.2"/>
    <row r="188" s="51" customFormat="1" ht="13.5" customHeight="1" x14ac:dyDescent="0.2"/>
    <row r="189" s="51" customFormat="1" ht="13.5" customHeight="1" x14ac:dyDescent="0.2"/>
    <row r="190" s="51" customFormat="1" ht="13.5" customHeight="1" x14ac:dyDescent="0.2"/>
    <row r="191" s="51" customFormat="1" ht="13.5" customHeight="1" x14ac:dyDescent="0.2"/>
    <row r="192" s="51" customFormat="1" ht="13.5" customHeight="1" x14ac:dyDescent="0.2"/>
    <row r="193" s="51" customFormat="1" ht="13.5" customHeight="1" x14ac:dyDescent="0.2"/>
    <row r="194" s="51" customFormat="1" ht="13.5" customHeight="1" x14ac:dyDescent="0.2"/>
    <row r="195" s="51" customFormat="1" ht="13.5" customHeight="1" x14ac:dyDescent="0.2"/>
    <row r="196" s="51" customFormat="1" ht="13.5" customHeight="1" x14ac:dyDescent="0.2"/>
    <row r="197" s="51" customFormat="1" ht="13.5" customHeight="1" x14ac:dyDescent="0.2"/>
    <row r="198" s="51" customFormat="1" ht="13.5" customHeight="1" x14ac:dyDescent="0.2"/>
    <row r="199" s="51" customFormat="1" ht="13.5" customHeight="1" x14ac:dyDescent="0.2"/>
    <row r="200" s="51" customFormat="1" ht="13.5" customHeight="1" x14ac:dyDescent="0.2"/>
    <row r="201" s="51" customFormat="1" ht="13.5" customHeight="1" x14ac:dyDescent="0.2"/>
    <row r="202" s="51" customFormat="1" ht="13.5" customHeight="1" x14ac:dyDescent="0.2"/>
    <row r="203" s="51" customFormat="1" ht="13.5" customHeight="1" x14ac:dyDescent="0.2"/>
    <row r="204" s="51" customFormat="1" ht="13.5" customHeight="1" x14ac:dyDescent="0.2"/>
    <row r="205" s="51" customFormat="1" ht="13.5" customHeight="1" x14ac:dyDescent="0.2"/>
    <row r="206" s="51" customFormat="1" ht="13.5" customHeight="1" x14ac:dyDescent="0.2"/>
    <row r="207" s="51" customFormat="1" ht="13.5" customHeight="1" x14ac:dyDescent="0.2"/>
    <row r="208" s="51" customFormat="1" ht="13.5" customHeight="1" x14ac:dyDescent="0.2"/>
    <row r="209" s="51" customFormat="1" ht="13.5" customHeight="1" x14ac:dyDescent="0.2"/>
    <row r="210" s="51" customFormat="1" ht="13.5" customHeight="1" x14ac:dyDescent="0.2"/>
    <row r="211" s="51" customFormat="1" ht="13.5" customHeight="1" x14ac:dyDescent="0.2"/>
    <row r="212" s="51" customFormat="1" ht="13.5" customHeight="1" x14ac:dyDescent="0.2"/>
    <row r="213" s="51" customFormat="1" ht="13.5" customHeight="1" x14ac:dyDescent="0.2"/>
    <row r="214" s="51" customFormat="1" ht="13.5" customHeight="1" x14ac:dyDescent="0.2"/>
    <row r="215" s="51" customFormat="1" ht="13.5" customHeight="1" x14ac:dyDescent="0.2"/>
    <row r="216" s="51" customFormat="1" ht="13.5" customHeight="1" x14ac:dyDescent="0.2"/>
    <row r="217" s="51" customFormat="1" ht="13.5" customHeight="1" x14ac:dyDescent="0.2"/>
    <row r="218" s="51" customFormat="1" ht="13.5" customHeight="1" x14ac:dyDescent="0.2"/>
    <row r="219" s="51" customFormat="1" ht="13.5" customHeight="1" x14ac:dyDescent="0.2"/>
    <row r="220" s="51" customFormat="1" ht="13.5" customHeight="1" x14ac:dyDescent="0.2"/>
    <row r="221" s="51" customFormat="1" ht="13.5" customHeight="1" x14ac:dyDescent="0.2"/>
    <row r="222" s="51" customFormat="1" ht="13.5" customHeight="1" x14ac:dyDescent="0.2"/>
    <row r="223" s="51" customFormat="1" ht="13.5" customHeight="1" x14ac:dyDescent="0.2"/>
    <row r="224" s="51" customFormat="1" ht="13.5" customHeight="1" x14ac:dyDescent="0.2"/>
    <row r="225" s="51" customFormat="1" ht="13.5" customHeight="1" x14ac:dyDescent="0.2"/>
    <row r="226" s="51" customFormat="1" ht="13.5" customHeight="1" x14ac:dyDescent="0.2"/>
    <row r="227" s="51" customFormat="1" ht="13.5" customHeight="1" x14ac:dyDescent="0.2"/>
    <row r="228" s="51" customFormat="1" ht="13.5" customHeight="1" x14ac:dyDescent="0.2"/>
    <row r="229" s="51" customFormat="1" ht="13.5" customHeight="1" x14ac:dyDescent="0.2"/>
    <row r="230" s="51" customFormat="1" ht="13.5" customHeight="1" x14ac:dyDescent="0.2"/>
    <row r="231" s="51" customFormat="1" ht="13.5" customHeight="1" x14ac:dyDescent="0.2"/>
    <row r="232" s="51" customFormat="1" ht="13.5" customHeight="1" x14ac:dyDescent="0.2"/>
    <row r="233" s="51" customFormat="1" ht="13.5" customHeight="1" x14ac:dyDescent="0.2"/>
    <row r="234" s="51" customFormat="1" ht="13.5" customHeight="1" x14ac:dyDescent="0.2"/>
    <row r="235" s="51" customFormat="1" ht="13.5" customHeight="1" x14ac:dyDescent="0.2"/>
    <row r="236" s="51" customFormat="1" ht="13.5" customHeight="1" x14ac:dyDescent="0.2"/>
    <row r="237" s="51" customFormat="1" ht="13.5" customHeight="1" x14ac:dyDescent="0.2"/>
    <row r="238" s="51" customFormat="1" ht="13.5" customHeight="1" x14ac:dyDescent="0.2"/>
    <row r="239" s="51" customFormat="1" ht="13.5" customHeight="1" x14ac:dyDescent="0.2"/>
    <row r="240" s="51" customFormat="1" ht="13.5" customHeight="1" x14ac:dyDescent="0.2"/>
    <row r="241" s="51" customFormat="1" ht="13.5" customHeight="1" x14ac:dyDescent="0.2"/>
    <row r="242" s="51" customFormat="1" ht="13.5" customHeight="1" x14ac:dyDescent="0.2"/>
    <row r="243" s="51" customFormat="1" ht="13.5" customHeight="1" x14ac:dyDescent="0.2"/>
    <row r="244" s="51" customFormat="1" ht="13.5" customHeight="1" x14ac:dyDescent="0.2"/>
    <row r="245" s="51" customFormat="1" ht="13.5" customHeight="1" x14ac:dyDescent="0.2"/>
    <row r="246" s="51" customFormat="1" ht="13.5" customHeight="1" x14ac:dyDescent="0.2"/>
    <row r="247" s="51" customFormat="1" ht="13.5" customHeight="1" x14ac:dyDescent="0.2"/>
    <row r="248" s="51" customFormat="1" ht="13.5" customHeight="1" x14ac:dyDescent="0.2"/>
    <row r="249" s="51" customFormat="1" ht="13.5" customHeight="1" x14ac:dyDescent="0.2"/>
    <row r="250" s="51" customFormat="1" ht="13.5" customHeight="1" x14ac:dyDescent="0.2"/>
    <row r="251" s="51" customFormat="1" ht="13.5" customHeight="1" x14ac:dyDescent="0.2"/>
    <row r="252" s="51" customFormat="1" ht="13.5" customHeight="1" x14ac:dyDescent="0.2"/>
    <row r="253" s="51" customFormat="1" ht="13.5" customHeight="1" x14ac:dyDescent="0.2"/>
    <row r="254" s="51" customFormat="1" ht="13.5" customHeight="1" x14ac:dyDescent="0.2"/>
    <row r="255" s="51" customFormat="1" ht="13.5" customHeight="1" x14ac:dyDescent="0.2"/>
    <row r="256" s="51" customFormat="1" ht="13.5" customHeight="1" x14ac:dyDescent="0.2"/>
    <row r="257" s="51" customFormat="1" ht="13.5" customHeight="1" x14ac:dyDescent="0.2"/>
    <row r="258" s="51" customFormat="1" ht="13.5" customHeight="1" x14ac:dyDescent="0.2"/>
    <row r="259" s="51" customFormat="1" ht="13.5" customHeight="1" x14ac:dyDescent="0.2"/>
    <row r="260" s="51" customFormat="1" ht="13.5" customHeight="1" x14ac:dyDescent="0.2"/>
    <row r="261" s="51" customFormat="1" ht="13.5" customHeight="1" x14ac:dyDescent="0.2"/>
    <row r="262" s="51" customFormat="1" ht="13.5" customHeight="1" x14ac:dyDescent="0.2"/>
    <row r="263" s="51" customFormat="1" ht="13.5" customHeight="1" x14ac:dyDescent="0.2"/>
    <row r="264" s="51" customFormat="1" ht="13.5" customHeight="1" x14ac:dyDescent="0.2"/>
    <row r="265" s="51" customFormat="1" ht="13.5" customHeight="1" x14ac:dyDescent="0.2"/>
    <row r="266" s="51" customFormat="1" ht="13.5" customHeight="1" x14ac:dyDescent="0.2"/>
    <row r="267" s="51" customFormat="1" ht="13.5" customHeight="1" x14ac:dyDescent="0.2"/>
    <row r="268" s="51" customFormat="1" ht="13.5" customHeight="1" x14ac:dyDescent="0.2"/>
    <row r="269" s="51" customFormat="1" ht="13.5" customHeight="1" x14ac:dyDescent="0.2"/>
    <row r="270" s="51" customFormat="1" ht="13.5" customHeight="1" x14ac:dyDescent="0.2"/>
    <row r="271" s="51" customFormat="1" ht="13.5" customHeight="1" x14ac:dyDescent="0.2"/>
    <row r="272" s="51" customFormat="1" ht="13.5" customHeight="1" x14ac:dyDescent="0.2"/>
    <row r="273" s="51" customFormat="1" ht="13.5" customHeight="1" x14ac:dyDescent="0.2"/>
    <row r="274" s="51" customFormat="1" ht="13.5" customHeight="1" x14ac:dyDescent="0.2"/>
    <row r="275" s="51" customFormat="1" ht="13.5" customHeight="1" x14ac:dyDescent="0.2"/>
    <row r="276" s="51" customFormat="1" ht="13.5" customHeight="1" x14ac:dyDescent="0.2"/>
    <row r="277" s="51" customFormat="1" ht="13.5" customHeight="1" x14ac:dyDescent="0.2"/>
    <row r="278" s="51" customFormat="1" ht="13.5" customHeight="1" x14ac:dyDescent="0.2"/>
    <row r="279" s="51" customFormat="1" ht="13.5" customHeight="1" x14ac:dyDescent="0.2"/>
    <row r="280" s="51" customFormat="1" ht="13.5" customHeight="1" x14ac:dyDescent="0.2"/>
    <row r="281" s="51" customFormat="1" ht="13.5" customHeight="1" x14ac:dyDescent="0.2"/>
    <row r="282" s="51" customFormat="1" ht="13.5" customHeight="1" x14ac:dyDescent="0.2"/>
    <row r="283" s="51" customFormat="1" ht="13.5" customHeight="1" x14ac:dyDescent="0.2"/>
    <row r="284" s="51" customFormat="1" ht="13.5" customHeight="1" x14ac:dyDescent="0.2"/>
    <row r="285" s="51" customFormat="1" ht="13.5" customHeight="1" x14ac:dyDescent="0.2"/>
    <row r="286" s="51" customFormat="1" ht="13.5" customHeight="1" x14ac:dyDescent="0.2"/>
    <row r="287" s="51" customFormat="1" ht="13.5" customHeight="1" x14ac:dyDescent="0.2"/>
    <row r="288" s="51" customFormat="1" ht="13.5" customHeight="1" x14ac:dyDescent="0.2"/>
    <row r="289" s="51" customFormat="1" ht="13.5" customHeight="1" x14ac:dyDescent="0.2"/>
    <row r="290" s="51" customFormat="1" ht="13.5" customHeight="1" x14ac:dyDescent="0.2"/>
    <row r="291" s="51" customFormat="1" ht="13.5" customHeight="1" x14ac:dyDescent="0.2"/>
    <row r="292" s="51" customFormat="1" ht="13.5" customHeight="1" x14ac:dyDescent="0.2"/>
    <row r="293" s="51" customFormat="1" ht="13.5" customHeight="1" x14ac:dyDescent="0.2"/>
    <row r="294" s="51" customFormat="1" ht="13.5" customHeight="1" x14ac:dyDescent="0.2"/>
    <row r="295" s="51" customFormat="1" ht="13.5" customHeight="1" x14ac:dyDescent="0.2"/>
    <row r="296" s="51" customFormat="1" ht="13.5" customHeight="1" x14ac:dyDescent="0.2"/>
    <row r="297" s="51" customFormat="1" ht="13.5" customHeight="1" x14ac:dyDescent="0.2"/>
    <row r="298" s="51" customFormat="1" ht="13.5" customHeight="1" x14ac:dyDescent="0.2"/>
    <row r="299" s="51" customFormat="1" ht="13.5" customHeight="1" x14ac:dyDescent="0.2"/>
    <row r="300" s="51" customFormat="1" ht="13.5" customHeight="1" x14ac:dyDescent="0.2"/>
    <row r="301" s="51" customFormat="1" ht="13.5" customHeight="1" x14ac:dyDescent="0.2"/>
    <row r="302" s="51" customFormat="1" ht="13.5" customHeight="1" x14ac:dyDescent="0.2"/>
    <row r="303" s="51" customFormat="1" ht="13.5" customHeight="1" x14ac:dyDescent="0.2"/>
    <row r="304" s="51" customFormat="1" ht="13.5" customHeight="1" x14ac:dyDescent="0.2"/>
    <row r="305" s="51" customFormat="1" ht="13.5" customHeight="1" x14ac:dyDescent="0.2"/>
    <row r="306" s="51" customFormat="1" ht="13.5" customHeight="1" x14ac:dyDescent="0.2"/>
    <row r="307" s="51" customFormat="1" ht="13.5" customHeight="1" x14ac:dyDescent="0.2"/>
    <row r="308" s="51" customFormat="1" ht="13.5" customHeight="1" x14ac:dyDescent="0.2"/>
    <row r="309" s="51" customFormat="1" ht="13.5" customHeight="1" x14ac:dyDescent="0.2"/>
    <row r="310" s="51" customFormat="1" ht="13.5" customHeight="1" x14ac:dyDescent="0.2"/>
    <row r="311" s="51" customFormat="1" ht="13.5" customHeight="1" x14ac:dyDescent="0.2"/>
    <row r="312" s="51" customFormat="1" ht="13.5" customHeight="1" x14ac:dyDescent="0.2"/>
    <row r="313" s="51" customFormat="1" ht="13.5" customHeight="1" x14ac:dyDescent="0.2"/>
    <row r="314" s="51" customFormat="1" ht="13.5" customHeight="1" x14ac:dyDescent="0.2"/>
    <row r="315" s="51" customFormat="1" ht="13.5" customHeight="1" x14ac:dyDescent="0.2"/>
    <row r="316" s="51" customFormat="1" ht="13.5" customHeight="1" x14ac:dyDescent="0.2"/>
    <row r="317" s="51" customFormat="1" ht="13.5" customHeight="1" x14ac:dyDescent="0.2"/>
    <row r="318" s="51" customFormat="1" ht="13.5" customHeight="1" x14ac:dyDescent="0.2"/>
    <row r="319" s="51" customFormat="1" ht="13.5" customHeight="1" x14ac:dyDescent="0.2"/>
    <row r="320" s="51" customFormat="1" ht="13.5" customHeight="1" x14ac:dyDescent="0.2"/>
    <row r="321" s="51" customFormat="1" ht="13.5" customHeight="1" x14ac:dyDescent="0.2"/>
    <row r="322" s="51" customFormat="1" ht="13.5" customHeight="1" x14ac:dyDescent="0.2"/>
    <row r="323" s="51" customFormat="1" ht="13.5" customHeight="1" x14ac:dyDescent="0.2"/>
    <row r="324" s="51" customFormat="1" ht="13.5" customHeight="1" x14ac:dyDescent="0.2"/>
    <row r="325" s="51" customFormat="1" ht="13.5" customHeight="1" x14ac:dyDescent="0.2"/>
    <row r="326" s="51" customFormat="1" ht="13.5" customHeight="1" x14ac:dyDescent="0.2"/>
    <row r="327" s="51" customFormat="1" ht="13.5" customHeight="1" x14ac:dyDescent="0.2"/>
    <row r="328" s="51" customFormat="1" ht="13.5" customHeight="1" x14ac:dyDescent="0.2"/>
    <row r="329" s="51" customFormat="1" ht="13.5" customHeight="1" x14ac:dyDescent="0.2"/>
    <row r="330" s="51" customFormat="1" ht="13.5" customHeight="1" x14ac:dyDescent="0.2"/>
    <row r="331" s="51" customFormat="1" ht="13.5" customHeight="1" x14ac:dyDescent="0.2"/>
    <row r="332" s="51" customFormat="1" ht="13.5" customHeight="1" x14ac:dyDescent="0.2"/>
    <row r="333" s="51" customFormat="1" ht="13.5" customHeight="1" x14ac:dyDescent="0.2"/>
    <row r="334" s="51" customFormat="1" ht="13.5" customHeight="1" x14ac:dyDescent="0.2"/>
    <row r="335" s="51" customFormat="1" ht="13.5" customHeight="1" x14ac:dyDescent="0.2"/>
    <row r="336" s="51" customFormat="1" ht="13.5" customHeight="1" x14ac:dyDescent="0.2"/>
    <row r="337" s="51" customFormat="1" ht="13.5" customHeight="1" x14ac:dyDescent="0.2"/>
    <row r="338" s="51" customFormat="1" ht="13.5" customHeight="1" x14ac:dyDescent="0.2"/>
    <row r="339" s="51" customFormat="1" ht="13.5" customHeight="1" x14ac:dyDescent="0.2"/>
    <row r="340" s="51" customFormat="1" ht="13.5" customHeight="1" x14ac:dyDescent="0.2"/>
    <row r="341" s="51" customFormat="1" ht="13.5" customHeight="1" x14ac:dyDescent="0.2"/>
    <row r="342" s="51" customFormat="1" ht="13.5" customHeight="1" x14ac:dyDescent="0.2"/>
    <row r="343" s="51" customFormat="1" ht="13.5" customHeight="1" x14ac:dyDescent="0.2"/>
    <row r="344" s="51" customFormat="1" ht="13.5" customHeight="1" x14ac:dyDescent="0.2"/>
    <row r="345" s="51" customFormat="1" ht="13.5" customHeight="1" x14ac:dyDescent="0.2"/>
    <row r="346" s="51" customFormat="1" ht="13.5" customHeight="1" x14ac:dyDescent="0.2"/>
    <row r="347" s="51" customFormat="1" ht="13.5" customHeight="1" x14ac:dyDescent="0.2"/>
    <row r="348" s="51" customFormat="1" ht="13.5" customHeight="1" x14ac:dyDescent="0.2"/>
    <row r="349" s="51" customFormat="1" ht="13.5" customHeight="1" x14ac:dyDescent="0.2"/>
    <row r="350" s="51" customFormat="1" ht="13.5" customHeight="1" x14ac:dyDescent="0.2"/>
    <row r="351" s="51" customFormat="1" ht="13.5" customHeight="1" x14ac:dyDescent="0.2"/>
    <row r="352" s="51" customFormat="1" ht="13.5" customHeight="1" x14ac:dyDescent="0.2"/>
    <row r="353" s="51" customFormat="1" ht="13.5" customHeight="1" x14ac:dyDescent="0.2"/>
    <row r="354" s="51" customFormat="1" ht="13.5" customHeight="1" x14ac:dyDescent="0.2"/>
    <row r="355" s="51" customFormat="1" ht="13.5" customHeight="1" x14ac:dyDescent="0.2"/>
    <row r="356" s="51" customFormat="1" ht="13.5" customHeight="1" x14ac:dyDescent="0.2"/>
    <row r="357" s="51" customFormat="1" ht="13.5" customHeight="1" x14ac:dyDescent="0.2"/>
    <row r="358" s="51" customFormat="1" ht="13.5" customHeight="1" x14ac:dyDescent="0.2"/>
    <row r="359" s="51" customFormat="1" ht="13.5" customHeight="1" x14ac:dyDescent="0.2"/>
    <row r="360" s="51" customFormat="1" ht="13.5" customHeight="1" x14ac:dyDescent="0.2"/>
    <row r="361" s="51" customFormat="1" ht="13.5" customHeight="1" x14ac:dyDescent="0.2"/>
    <row r="362" s="51" customFormat="1" ht="13.5" customHeight="1" x14ac:dyDescent="0.2"/>
    <row r="363" s="51" customFormat="1" ht="13.5" customHeight="1" x14ac:dyDescent="0.2"/>
    <row r="364" s="51" customFormat="1" ht="13.5" customHeight="1" x14ac:dyDescent="0.2"/>
    <row r="365" s="51" customFormat="1" ht="13.5" customHeight="1" x14ac:dyDescent="0.2"/>
    <row r="366" s="51" customFormat="1" ht="13.5" customHeight="1" x14ac:dyDescent="0.2"/>
    <row r="367" s="51" customFormat="1" ht="13.5" customHeight="1" x14ac:dyDescent="0.2"/>
    <row r="368" s="51" customFormat="1" ht="13.5" customHeight="1" x14ac:dyDescent="0.2"/>
    <row r="369" s="51" customFormat="1" ht="13.5" customHeight="1" x14ac:dyDescent="0.2"/>
    <row r="370" s="51" customFormat="1" ht="13.5" customHeight="1" x14ac:dyDescent="0.2"/>
    <row r="371" s="51" customFormat="1" ht="13.5" customHeight="1" x14ac:dyDescent="0.2"/>
    <row r="372" s="51" customFormat="1" ht="13.5" customHeight="1" x14ac:dyDescent="0.2"/>
    <row r="373" s="51" customFormat="1" ht="13.5" customHeight="1" x14ac:dyDescent="0.2"/>
    <row r="374" s="51" customFormat="1" ht="13.5" customHeight="1" x14ac:dyDescent="0.2"/>
    <row r="375" s="51" customFormat="1" ht="13.5" customHeight="1" x14ac:dyDescent="0.2"/>
    <row r="376" s="51" customFormat="1" ht="13.5" customHeight="1" x14ac:dyDescent="0.2"/>
    <row r="377" s="51" customFormat="1" ht="13.5" customHeight="1" x14ac:dyDescent="0.2"/>
    <row r="378" s="51" customFormat="1" ht="13.5" customHeight="1" x14ac:dyDescent="0.2"/>
    <row r="379" s="51" customFormat="1" ht="13.5" customHeight="1" x14ac:dyDescent="0.2"/>
    <row r="380" s="51" customFormat="1" ht="13.5" customHeight="1" x14ac:dyDescent="0.2"/>
    <row r="381" s="51" customFormat="1" ht="13.5" customHeight="1" x14ac:dyDescent="0.2"/>
    <row r="382" s="51" customFormat="1" ht="13.5" customHeight="1" x14ac:dyDescent="0.2"/>
    <row r="383" s="51" customFormat="1" ht="13.5" customHeight="1" x14ac:dyDescent="0.2"/>
    <row r="384" s="51" customFormat="1" ht="13.5" customHeight="1" x14ac:dyDescent="0.2"/>
    <row r="385" s="51" customFormat="1" ht="13.5" customHeight="1" x14ac:dyDescent="0.2"/>
    <row r="386" s="51" customFormat="1" ht="13.5" customHeight="1" x14ac:dyDescent="0.2"/>
    <row r="387" s="51" customFormat="1" ht="13.5" customHeight="1" x14ac:dyDescent="0.2"/>
    <row r="388" s="51" customFormat="1" ht="13.5" customHeight="1" x14ac:dyDescent="0.2"/>
    <row r="389" s="51" customFormat="1" ht="13.5" customHeight="1" x14ac:dyDescent="0.2"/>
    <row r="390" s="51" customFormat="1" ht="13.5" customHeight="1" x14ac:dyDescent="0.2"/>
    <row r="391" s="51" customFormat="1" ht="13.5" customHeight="1" x14ac:dyDescent="0.2"/>
    <row r="392" s="51" customFormat="1" ht="13.5" customHeight="1" x14ac:dyDescent="0.2"/>
    <row r="393" s="51" customFormat="1" ht="13.5" customHeight="1" x14ac:dyDescent="0.2"/>
    <row r="394" s="51" customFormat="1" ht="13.5" customHeight="1" x14ac:dyDescent="0.2"/>
    <row r="395" s="51" customFormat="1" ht="13.5" customHeight="1" x14ac:dyDescent="0.2"/>
    <row r="396" s="51" customFormat="1" ht="13.5" customHeight="1" x14ac:dyDescent="0.2"/>
    <row r="397" s="51" customFormat="1" ht="13.5" customHeight="1" x14ac:dyDescent="0.2"/>
    <row r="398" s="51" customFormat="1" ht="13.5" customHeight="1" x14ac:dyDescent="0.2"/>
    <row r="399" s="51" customFormat="1" ht="13.5" customHeight="1" x14ac:dyDescent="0.2"/>
    <row r="400" s="51" customFormat="1" ht="13.5" customHeight="1" x14ac:dyDescent="0.2"/>
    <row r="401" s="51" customFormat="1" ht="13.5" customHeight="1" x14ac:dyDescent="0.2"/>
    <row r="402" s="51" customFormat="1" ht="13.5" customHeight="1" x14ac:dyDescent="0.2"/>
    <row r="403" s="51" customFormat="1" ht="13.5" customHeight="1" x14ac:dyDescent="0.2"/>
    <row r="404" s="51" customFormat="1" ht="13.5" customHeight="1" x14ac:dyDescent="0.2"/>
    <row r="405" s="51" customFormat="1" ht="13.5" customHeight="1" x14ac:dyDescent="0.2"/>
    <row r="406" s="51" customFormat="1" ht="13.5" customHeight="1" x14ac:dyDescent="0.2"/>
    <row r="407" s="51" customFormat="1" ht="13.5" customHeight="1" x14ac:dyDescent="0.2"/>
    <row r="408" s="51" customFormat="1" ht="13.5" customHeight="1" x14ac:dyDescent="0.2"/>
    <row r="409" s="51" customFormat="1" ht="13.5" customHeight="1" x14ac:dyDescent="0.2"/>
    <row r="410" s="51" customFormat="1" ht="13.5" customHeight="1" x14ac:dyDescent="0.2"/>
    <row r="411" s="51" customFormat="1" ht="13.5" customHeight="1" x14ac:dyDescent="0.2"/>
    <row r="412" s="51" customFormat="1" ht="13.5" customHeight="1" x14ac:dyDescent="0.2"/>
    <row r="413" s="51" customFormat="1" ht="13.5" customHeight="1" x14ac:dyDescent="0.2"/>
    <row r="414" s="51" customFormat="1" ht="13.5" customHeight="1" x14ac:dyDescent="0.2"/>
    <row r="415" s="51" customFormat="1" ht="13.5" customHeight="1" x14ac:dyDescent="0.2"/>
    <row r="416" s="51" customFormat="1" ht="13.5" customHeight="1" x14ac:dyDescent="0.2"/>
    <row r="417" s="51" customFormat="1" ht="13.5" customHeight="1" x14ac:dyDescent="0.2"/>
    <row r="418" s="51" customFormat="1" ht="13.5" customHeight="1" x14ac:dyDescent="0.2"/>
    <row r="419" s="51" customFormat="1" ht="13.5" customHeight="1" x14ac:dyDescent="0.2"/>
    <row r="420" s="51" customFormat="1" ht="13.5" customHeight="1" x14ac:dyDescent="0.2"/>
    <row r="421" s="51" customFormat="1" ht="13.5" customHeight="1" x14ac:dyDescent="0.2"/>
    <row r="422" s="51" customFormat="1" ht="13.5" customHeight="1" x14ac:dyDescent="0.2"/>
    <row r="423" s="51" customFormat="1" ht="13.5" customHeight="1" x14ac:dyDescent="0.2"/>
    <row r="424" s="51" customFormat="1" ht="13.5" customHeight="1" x14ac:dyDescent="0.2"/>
    <row r="425" s="51" customFormat="1" ht="13.5" customHeight="1" x14ac:dyDescent="0.2"/>
    <row r="426" s="51" customFormat="1" ht="13.5" customHeight="1" x14ac:dyDescent="0.2"/>
    <row r="427" s="51" customFormat="1" ht="13.5" customHeight="1" x14ac:dyDescent="0.2"/>
    <row r="428" s="51" customFormat="1" ht="13.5" customHeight="1" x14ac:dyDescent="0.2"/>
    <row r="429" s="51" customFormat="1" ht="13.5" customHeight="1" x14ac:dyDescent="0.2"/>
    <row r="430" s="51" customFormat="1" ht="13.5" customHeight="1" x14ac:dyDescent="0.2"/>
    <row r="431" s="51" customFormat="1" ht="13.5" customHeight="1" x14ac:dyDescent="0.2"/>
    <row r="432" s="51" customFormat="1" ht="13.5" customHeight="1" x14ac:dyDescent="0.2"/>
    <row r="433" s="51" customFormat="1" ht="13.5" customHeight="1" x14ac:dyDescent="0.2"/>
    <row r="434" s="51" customFormat="1" ht="13.5" customHeight="1" x14ac:dyDescent="0.2"/>
    <row r="435" s="51" customFormat="1" ht="13.5" customHeight="1" x14ac:dyDescent="0.2"/>
    <row r="436" s="51" customFormat="1" ht="13.5" customHeight="1" x14ac:dyDescent="0.2"/>
    <row r="437" s="51" customFormat="1" ht="13.5" customHeight="1" x14ac:dyDescent="0.2"/>
    <row r="438" s="51" customFormat="1" ht="13.5" customHeight="1" x14ac:dyDescent="0.2"/>
    <row r="439" s="51" customFormat="1" ht="13.5" customHeight="1" x14ac:dyDescent="0.2"/>
    <row r="440" s="51" customFormat="1" ht="13.5" customHeight="1" x14ac:dyDescent="0.2"/>
    <row r="441" s="51" customFormat="1" ht="13.5" customHeight="1" x14ac:dyDescent="0.2"/>
    <row r="442" s="51" customFormat="1" ht="13.5" customHeight="1" x14ac:dyDescent="0.2"/>
    <row r="443" s="51" customFormat="1" ht="13.5" customHeight="1" x14ac:dyDescent="0.2"/>
    <row r="444" s="51" customFormat="1" ht="13.5" customHeight="1" x14ac:dyDescent="0.2"/>
    <row r="445" s="51" customFormat="1" ht="13.5" customHeight="1" x14ac:dyDescent="0.2"/>
    <row r="446" s="51" customFormat="1" ht="13.5" customHeight="1" x14ac:dyDescent="0.2"/>
    <row r="447" s="51" customFormat="1" ht="13.5" customHeight="1" x14ac:dyDescent="0.2"/>
    <row r="448" s="51" customFormat="1" ht="13.5" customHeight="1" x14ac:dyDescent="0.2"/>
    <row r="449" s="51" customFormat="1" ht="13.5" customHeight="1" x14ac:dyDescent="0.2"/>
    <row r="450" s="51" customFormat="1" ht="13.5" customHeight="1" x14ac:dyDescent="0.2"/>
    <row r="451" s="51" customFormat="1" ht="13.5" customHeight="1" x14ac:dyDescent="0.2"/>
    <row r="452" s="51" customFormat="1" ht="13.5" customHeight="1" x14ac:dyDescent="0.2"/>
    <row r="453" s="51" customFormat="1" ht="13.5" customHeight="1" x14ac:dyDescent="0.2"/>
    <row r="454" s="51" customFormat="1" ht="13.5" customHeight="1" x14ac:dyDescent="0.2"/>
    <row r="455" s="51" customFormat="1" ht="13.5" customHeight="1" x14ac:dyDescent="0.2"/>
    <row r="456" s="51" customFormat="1" ht="13.5" customHeight="1" x14ac:dyDescent="0.2"/>
    <row r="457" s="51" customFormat="1" ht="13.5" customHeight="1" x14ac:dyDescent="0.2"/>
    <row r="458" s="51" customFormat="1" ht="13.5" customHeight="1" x14ac:dyDescent="0.2"/>
    <row r="459" s="51" customFormat="1" ht="13.5" customHeight="1" x14ac:dyDescent="0.2"/>
    <row r="460" s="51" customFormat="1" ht="13.5" customHeight="1" x14ac:dyDescent="0.2"/>
    <row r="461" s="51" customFormat="1" ht="13.5" customHeight="1" x14ac:dyDescent="0.2"/>
    <row r="462" s="51" customFormat="1" ht="13.5" customHeight="1" x14ac:dyDescent="0.2"/>
    <row r="463" s="51" customFormat="1" ht="13.5" customHeight="1" x14ac:dyDescent="0.2"/>
    <row r="464" s="51" customFormat="1" ht="13.5" customHeight="1" x14ac:dyDescent="0.2"/>
    <row r="465" s="51" customFormat="1" ht="13.5" customHeight="1" x14ac:dyDescent="0.2"/>
    <row r="466" s="51" customFormat="1" ht="13.5" customHeight="1" x14ac:dyDescent="0.2"/>
    <row r="467" s="51" customFormat="1" ht="13.5" customHeight="1" x14ac:dyDescent="0.2"/>
    <row r="468" s="51" customFormat="1" ht="13.5" customHeight="1" x14ac:dyDescent="0.2"/>
    <row r="469" s="51" customFormat="1" ht="13.5" customHeight="1" x14ac:dyDescent="0.2"/>
    <row r="470" s="51" customFormat="1" ht="13.5" customHeight="1" x14ac:dyDescent="0.2"/>
    <row r="471" s="51" customFormat="1" ht="13.5" customHeight="1" x14ac:dyDescent="0.2"/>
    <row r="472" s="51" customFormat="1" ht="13.5" customHeight="1" x14ac:dyDescent="0.2"/>
    <row r="473" s="51" customFormat="1" ht="13.5" customHeight="1" x14ac:dyDescent="0.2"/>
    <row r="474" s="51" customFormat="1" ht="13.5" customHeight="1" x14ac:dyDescent="0.2"/>
    <row r="475" s="51" customFormat="1" ht="13.5" customHeight="1" x14ac:dyDescent="0.2"/>
    <row r="476" s="51" customFormat="1" ht="13.5" customHeight="1" x14ac:dyDescent="0.2"/>
    <row r="477" s="51" customFormat="1" ht="13.5" customHeight="1" x14ac:dyDescent="0.2"/>
    <row r="478" s="51" customFormat="1" ht="13.5" customHeight="1" x14ac:dyDescent="0.2"/>
    <row r="479" s="51" customFormat="1" ht="13.5" customHeight="1" x14ac:dyDescent="0.2"/>
    <row r="480" s="51" customFormat="1" ht="13.5" customHeight="1" x14ac:dyDescent="0.2"/>
    <row r="481" s="51" customFormat="1" ht="13.5" customHeight="1" x14ac:dyDescent="0.2"/>
    <row r="482" s="51" customFormat="1" ht="13.5" customHeight="1" x14ac:dyDescent="0.2"/>
    <row r="483" s="51" customFormat="1" ht="13.5" customHeight="1" x14ac:dyDescent="0.2"/>
    <row r="484" s="51" customFormat="1" ht="13.5" customHeight="1" x14ac:dyDescent="0.2"/>
    <row r="485" s="51" customFormat="1" ht="13.5" customHeight="1" x14ac:dyDescent="0.2"/>
    <row r="486" s="51" customFormat="1" ht="13.5" customHeight="1" x14ac:dyDescent="0.2"/>
    <row r="487" s="51" customFormat="1" ht="13.5" customHeight="1" x14ac:dyDescent="0.2"/>
    <row r="488" s="51" customFormat="1" ht="13.5" customHeight="1" x14ac:dyDescent="0.2"/>
    <row r="489" s="51" customFormat="1" ht="13.5" customHeight="1" x14ac:dyDescent="0.2"/>
    <row r="490" s="51" customFormat="1" ht="13.5" customHeight="1" x14ac:dyDescent="0.2"/>
    <row r="491" s="51" customFormat="1" ht="13.5" customHeight="1" x14ac:dyDescent="0.2"/>
    <row r="492" s="51" customFormat="1" ht="13.5" customHeight="1" x14ac:dyDescent="0.2"/>
    <row r="493" s="51" customFormat="1" ht="13.5" customHeight="1" x14ac:dyDescent="0.2"/>
    <row r="494" s="51" customFormat="1" ht="13.5" customHeight="1" x14ac:dyDescent="0.2"/>
    <row r="495" s="51" customFormat="1" ht="13.5" customHeight="1" x14ac:dyDescent="0.2"/>
    <row r="496" s="51" customFormat="1" ht="13.5" customHeight="1" x14ac:dyDescent="0.2"/>
    <row r="497" s="51" customFormat="1" ht="13.5" customHeight="1" x14ac:dyDescent="0.2"/>
    <row r="498" s="51" customFormat="1" ht="13.5" customHeight="1" x14ac:dyDescent="0.2"/>
    <row r="499" s="51" customFormat="1" ht="13.5" customHeight="1" x14ac:dyDescent="0.2"/>
    <row r="500" s="51" customFormat="1" ht="13.5" customHeight="1" x14ac:dyDescent="0.2"/>
    <row r="501" s="51" customFormat="1" ht="13.5" customHeight="1" x14ac:dyDescent="0.2"/>
    <row r="502" s="51" customFormat="1" ht="13.5" customHeight="1" x14ac:dyDescent="0.2"/>
    <row r="503" s="51" customFormat="1" ht="13.5" customHeight="1" x14ac:dyDescent="0.2"/>
    <row r="504" s="51" customFormat="1" ht="13.5" customHeight="1" x14ac:dyDescent="0.2"/>
    <row r="505" s="51" customFormat="1" ht="13.5" customHeight="1" x14ac:dyDescent="0.2"/>
    <row r="506" s="51" customFormat="1" ht="13.5" customHeight="1" x14ac:dyDescent="0.2"/>
    <row r="507" s="51" customFormat="1" ht="13.5" customHeight="1" x14ac:dyDescent="0.2"/>
    <row r="508" s="51" customFormat="1" ht="13.5" customHeight="1" x14ac:dyDescent="0.2"/>
    <row r="509" s="51" customFormat="1" ht="13.5" customHeight="1" x14ac:dyDescent="0.2"/>
    <row r="510" s="51" customFormat="1" ht="13.5" customHeight="1" x14ac:dyDescent="0.2"/>
    <row r="511" s="51" customFormat="1" ht="13.5" customHeight="1" x14ac:dyDescent="0.2"/>
    <row r="512" s="51" customFormat="1" ht="13.5" customHeight="1" x14ac:dyDescent="0.2"/>
    <row r="513" s="51" customFormat="1" ht="13.5" customHeight="1" x14ac:dyDescent="0.2"/>
    <row r="514" s="51" customFormat="1" ht="13.5" customHeight="1" x14ac:dyDescent="0.2"/>
    <row r="515" s="51" customFormat="1" ht="13.5" customHeight="1" x14ac:dyDescent="0.2"/>
    <row r="516" s="51" customFormat="1" ht="13.5" customHeight="1" x14ac:dyDescent="0.2"/>
    <row r="517" s="51" customFormat="1" ht="13.5" customHeight="1" x14ac:dyDescent="0.2"/>
    <row r="518" s="51" customFormat="1" ht="13.5" customHeight="1" x14ac:dyDescent="0.2"/>
    <row r="519" s="51" customFormat="1" ht="13.5" customHeight="1" x14ac:dyDescent="0.2"/>
    <row r="520" s="51" customFormat="1" ht="13.5" customHeight="1" x14ac:dyDescent="0.2"/>
    <row r="521" s="51" customFormat="1" ht="13.5" customHeight="1" x14ac:dyDescent="0.2"/>
    <row r="522" s="51" customFormat="1" ht="13.5" customHeight="1" x14ac:dyDescent="0.2"/>
    <row r="523" s="51" customFormat="1" ht="13.5" customHeight="1" x14ac:dyDescent="0.2"/>
    <row r="524" s="51" customFormat="1" ht="13.5" customHeight="1" x14ac:dyDescent="0.2"/>
    <row r="525" s="51" customFormat="1" ht="13.5" customHeight="1" x14ac:dyDescent="0.2"/>
    <row r="526" s="51" customFormat="1" ht="13.5" customHeight="1" x14ac:dyDescent="0.2"/>
    <row r="527" s="51" customFormat="1" ht="13.5" customHeight="1" x14ac:dyDescent="0.2"/>
    <row r="528" s="51" customFormat="1" ht="13.5" customHeight="1" x14ac:dyDescent="0.2"/>
    <row r="529" s="51" customFormat="1" ht="13.5" customHeight="1" x14ac:dyDescent="0.2"/>
    <row r="530" s="51" customFormat="1" ht="13.5" customHeight="1" x14ac:dyDescent="0.2"/>
    <row r="531" s="51" customFormat="1" ht="13.5" customHeight="1" x14ac:dyDescent="0.2"/>
    <row r="532" s="51" customFormat="1" ht="13.5" customHeight="1" x14ac:dyDescent="0.2"/>
    <row r="533" s="51" customFormat="1" ht="13.5" customHeight="1" x14ac:dyDescent="0.2"/>
    <row r="534" s="51" customFormat="1" ht="13.5" customHeight="1" x14ac:dyDescent="0.2"/>
    <row r="535" s="51" customFormat="1" ht="13.5" customHeight="1" x14ac:dyDescent="0.2"/>
    <row r="536" s="51" customFormat="1" ht="13.5" customHeight="1" x14ac:dyDescent="0.2"/>
    <row r="537" s="51" customFormat="1" ht="13.5" customHeight="1" x14ac:dyDescent="0.2"/>
    <row r="538" s="51" customFormat="1" ht="13.5" customHeight="1" x14ac:dyDescent="0.2"/>
    <row r="539" s="51" customFormat="1" ht="13.5" customHeight="1" x14ac:dyDescent="0.2"/>
    <row r="540" s="51" customFormat="1" ht="13.5" customHeight="1" x14ac:dyDescent="0.2"/>
    <row r="541" s="51" customFormat="1" ht="13.5" customHeight="1" x14ac:dyDescent="0.2"/>
    <row r="542" s="51" customFormat="1" ht="13.5" customHeight="1" x14ac:dyDescent="0.2"/>
    <row r="543" s="51" customFormat="1" ht="13.5" customHeight="1" x14ac:dyDescent="0.2"/>
    <row r="544" s="51" customFormat="1" ht="13.5" customHeight="1" x14ac:dyDescent="0.2"/>
    <row r="545" s="51" customFormat="1" ht="13.5" customHeight="1" x14ac:dyDescent="0.2"/>
    <row r="546" s="51" customFormat="1" ht="13.5" customHeight="1" x14ac:dyDescent="0.2"/>
    <row r="547" s="51" customFormat="1" ht="13.5" customHeight="1" x14ac:dyDescent="0.2"/>
    <row r="548" s="51" customFormat="1" ht="13.5" customHeight="1" x14ac:dyDescent="0.2"/>
    <row r="549" s="51" customFormat="1" ht="13.5" customHeight="1" x14ac:dyDescent="0.2"/>
    <row r="550" s="51" customFormat="1" ht="13.5" customHeight="1" x14ac:dyDescent="0.2"/>
    <row r="551" s="51" customFormat="1" ht="13.5" customHeight="1" x14ac:dyDescent="0.2"/>
    <row r="552" s="51" customFormat="1" ht="13.5" customHeight="1" x14ac:dyDescent="0.2"/>
    <row r="553" s="51" customFormat="1" ht="13.5" customHeight="1" x14ac:dyDescent="0.2"/>
    <row r="554" s="51" customFormat="1" ht="13.5" customHeight="1" x14ac:dyDescent="0.2"/>
    <row r="555" s="51" customFormat="1" ht="13.5" customHeight="1" x14ac:dyDescent="0.2"/>
    <row r="556" s="51" customFormat="1" ht="13.5" customHeight="1" x14ac:dyDescent="0.2"/>
    <row r="557" s="51" customFormat="1" ht="13.5" customHeight="1" x14ac:dyDescent="0.2"/>
    <row r="558" s="51" customFormat="1" ht="13.5" customHeight="1" x14ac:dyDescent="0.2"/>
    <row r="559" s="51" customFormat="1" ht="13.5" customHeight="1" x14ac:dyDescent="0.2"/>
    <row r="560" s="51" customFormat="1" ht="13.5" customHeight="1" x14ac:dyDescent="0.2"/>
    <row r="561" s="51" customFormat="1" ht="13.5" customHeight="1" x14ac:dyDescent="0.2"/>
    <row r="562" s="51" customFormat="1" ht="13.5" customHeight="1" x14ac:dyDescent="0.2"/>
    <row r="563" s="51" customFormat="1" ht="13.5" customHeight="1" x14ac:dyDescent="0.2"/>
    <row r="564" s="51" customFormat="1" ht="13.5" customHeight="1" x14ac:dyDescent="0.2"/>
    <row r="565" s="51" customFormat="1" ht="13.5" customHeight="1" x14ac:dyDescent="0.2"/>
    <row r="566" s="51" customFormat="1" ht="13.5" customHeight="1" x14ac:dyDescent="0.2"/>
    <row r="567" s="51" customFormat="1" ht="13.5" customHeight="1" x14ac:dyDescent="0.2"/>
    <row r="568" s="51" customFormat="1" ht="13.5" customHeight="1" x14ac:dyDescent="0.2"/>
    <row r="569" s="51" customFormat="1" ht="13.5" customHeight="1" x14ac:dyDescent="0.2"/>
    <row r="570" s="51" customFormat="1" ht="13.5" customHeight="1" x14ac:dyDescent="0.2"/>
    <row r="571" s="51" customFormat="1" ht="13.5" customHeight="1" x14ac:dyDescent="0.2"/>
    <row r="572" s="51" customFormat="1" ht="13.5" customHeight="1" x14ac:dyDescent="0.2"/>
    <row r="573" s="51" customFormat="1" ht="13.5" customHeight="1" x14ac:dyDescent="0.2"/>
    <row r="574" s="51" customFormat="1" ht="13.5" customHeight="1" x14ac:dyDescent="0.2"/>
    <row r="575" s="51" customFormat="1" ht="13.5" customHeight="1" x14ac:dyDescent="0.2"/>
    <row r="576" s="51" customFormat="1" ht="13.5" customHeight="1" x14ac:dyDescent="0.2"/>
    <row r="577" s="51" customFormat="1" ht="13.5" customHeight="1" x14ac:dyDescent="0.2"/>
    <row r="578" s="51" customFormat="1" ht="13.5" customHeight="1" x14ac:dyDescent="0.2"/>
    <row r="579" s="51" customFormat="1" ht="13.5" customHeight="1" x14ac:dyDescent="0.2"/>
    <row r="580" s="51" customFormat="1" ht="13.5" customHeight="1" x14ac:dyDescent="0.2"/>
    <row r="581" s="51" customFormat="1" ht="13.5" customHeight="1" x14ac:dyDescent="0.2"/>
    <row r="582" s="51" customFormat="1" ht="13.5" customHeight="1" x14ac:dyDescent="0.2"/>
    <row r="583" s="51" customFormat="1" ht="13.5" customHeight="1" x14ac:dyDescent="0.2"/>
    <row r="584" s="51" customFormat="1" ht="13.5" customHeight="1" x14ac:dyDescent="0.2"/>
    <row r="585" s="51" customFormat="1" ht="13.5" customHeight="1" x14ac:dyDescent="0.2"/>
    <row r="586" s="51" customFormat="1" ht="13.5" customHeight="1" x14ac:dyDescent="0.2"/>
    <row r="587" s="51" customFormat="1" ht="13.5" customHeight="1" x14ac:dyDescent="0.2"/>
    <row r="588" s="51" customFormat="1" ht="13.5" customHeight="1" x14ac:dyDescent="0.2"/>
    <row r="589" s="51" customFormat="1" ht="13.5" customHeight="1" x14ac:dyDescent="0.2"/>
    <row r="590" s="51" customFormat="1" ht="13.5" customHeight="1" x14ac:dyDescent="0.2"/>
    <row r="591" s="51" customFormat="1" ht="13.5" customHeight="1" x14ac:dyDescent="0.2"/>
    <row r="592" s="51" customFormat="1" ht="13.5" customHeight="1" x14ac:dyDescent="0.2"/>
    <row r="593" s="51" customFormat="1" ht="13.5" customHeight="1" x14ac:dyDescent="0.2"/>
    <row r="594" s="51" customFormat="1" ht="13.5" customHeight="1" x14ac:dyDescent="0.2"/>
    <row r="595" s="51" customFormat="1" ht="13.5" customHeight="1" x14ac:dyDescent="0.2"/>
    <row r="596" s="51" customFormat="1" ht="13.5" customHeight="1" x14ac:dyDescent="0.2"/>
    <row r="597" s="51" customFormat="1" ht="13.5" customHeight="1" x14ac:dyDescent="0.2"/>
    <row r="598" s="51" customFormat="1" ht="13.5" customHeight="1" x14ac:dyDescent="0.2"/>
    <row r="599" s="51" customFormat="1" ht="13.5" customHeight="1" x14ac:dyDescent="0.2"/>
    <row r="600" s="51" customFormat="1" ht="13.5" customHeight="1" x14ac:dyDescent="0.2"/>
    <row r="601" s="51" customFormat="1" ht="13.5" customHeight="1" x14ac:dyDescent="0.2"/>
    <row r="602" s="51" customFormat="1" ht="13.5" customHeight="1" x14ac:dyDescent="0.2"/>
    <row r="603" s="51" customFormat="1" ht="13.5" customHeight="1" x14ac:dyDescent="0.2"/>
    <row r="604" s="51" customFormat="1" ht="13.5" customHeight="1" x14ac:dyDescent="0.2"/>
    <row r="605" s="51" customFormat="1" ht="13.5" customHeight="1" x14ac:dyDescent="0.2"/>
    <row r="606" s="51" customFormat="1" ht="13.5" customHeight="1" x14ac:dyDescent="0.2"/>
    <row r="607" s="51" customFormat="1" ht="13.5" customHeight="1" x14ac:dyDescent="0.2"/>
    <row r="608" s="51" customFormat="1" ht="13.5" customHeight="1" x14ac:dyDescent="0.2"/>
    <row r="609" s="51" customFormat="1" ht="13.5" customHeight="1" x14ac:dyDescent="0.2"/>
    <row r="610" s="51" customFormat="1" ht="13.5" customHeight="1" x14ac:dyDescent="0.2"/>
    <row r="611" s="51" customFormat="1" ht="13.5" customHeight="1" x14ac:dyDescent="0.2"/>
    <row r="612" s="51" customFormat="1" ht="13.5" customHeight="1" x14ac:dyDescent="0.2"/>
    <row r="613" s="51" customFormat="1" ht="13.5" customHeight="1" x14ac:dyDescent="0.2"/>
    <row r="614" s="51" customFormat="1" ht="13.5" customHeight="1" x14ac:dyDescent="0.2"/>
    <row r="615" s="51" customFormat="1" ht="13.5" customHeight="1" x14ac:dyDescent="0.2"/>
    <row r="616" s="51" customFormat="1" ht="13.5" customHeight="1" x14ac:dyDescent="0.2"/>
    <row r="617" s="51" customFormat="1" ht="13.5" customHeight="1" x14ac:dyDescent="0.2"/>
    <row r="618" s="51" customFormat="1" ht="13.5" customHeight="1" x14ac:dyDescent="0.2"/>
    <row r="619" s="51" customFormat="1" ht="13.5" customHeight="1" x14ac:dyDescent="0.2"/>
    <row r="620" s="51" customFormat="1" ht="13.5" customHeight="1" x14ac:dyDescent="0.2"/>
    <row r="621" s="51" customFormat="1" ht="13.5" customHeight="1" x14ac:dyDescent="0.2"/>
    <row r="622" s="51" customFormat="1" ht="13.5" customHeight="1" x14ac:dyDescent="0.2"/>
    <row r="623" s="51" customFormat="1" ht="13.5" customHeight="1" x14ac:dyDescent="0.2"/>
    <row r="624" s="51" customFormat="1" ht="13.5" customHeight="1" x14ac:dyDescent="0.2"/>
    <row r="625" s="51" customFormat="1" ht="13.5" customHeight="1" x14ac:dyDescent="0.2"/>
    <row r="626" s="51" customFormat="1" ht="13.5" customHeight="1" x14ac:dyDescent="0.2"/>
    <row r="627" s="51" customFormat="1" ht="13.5" customHeight="1" x14ac:dyDescent="0.2"/>
    <row r="628" s="51" customFormat="1" ht="13.5" customHeight="1" x14ac:dyDescent="0.2"/>
    <row r="629" s="51" customFormat="1" ht="13.5" customHeight="1" x14ac:dyDescent="0.2"/>
    <row r="630" s="51" customFormat="1" ht="13.5" customHeight="1" x14ac:dyDescent="0.2"/>
    <row r="631" s="51" customFormat="1" ht="13.5" customHeight="1" x14ac:dyDescent="0.2"/>
    <row r="632" s="51" customFormat="1" ht="13.5" customHeight="1" x14ac:dyDescent="0.2"/>
    <row r="633" s="51" customFormat="1" ht="13.5" customHeight="1" x14ac:dyDescent="0.2"/>
    <row r="634" s="51" customFormat="1" ht="13.5" customHeight="1" x14ac:dyDescent="0.2"/>
    <row r="635" s="51" customFormat="1" ht="13.5" customHeight="1" x14ac:dyDescent="0.2"/>
    <row r="636" s="51" customFormat="1" ht="13.5" customHeight="1" x14ac:dyDescent="0.2"/>
    <row r="637" s="51" customFormat="1" ht="13.5" customHeight="1" x14ac:dyDescent="0.2"/>
    <row r="638" s="51" customFormat="1" ht="13.5" customHeight="1" x14ac:dyDescent="0.2"/>
    <row r="639" s="51" customFormat="1" ht="13.5" customHeight="1" x14ac:dyDescent="0.2"/>
    <row r="640" s="51" customFormat="1" ht="13.5" customHeight="1" x14ac:dyDescent="0.2"/>
    <row r="641" s="51" customFormat="1" ht="13.5" customHeight="1" x14ac:dyDescent="0.2"/>
    <row r="642" s="51" customFormat="1" ht="13.5" customHeight="1" x14ac:dyDescent="0.2"/>
    <row r="643" s="51" customFormat="1" ht="13.5" customHeight="1" x14ac:dyDescent="0.2"/>
    <row r="644" s="51" customFormat="1" ht="13.5" customHeight="1" x14ac:dyDescent="0.2"/>
    <row r="645" s="51" customFormat="1" ht="13.5" customHeight="1" x14ac:dyDescent="0.2"/>
    <row r="646" s="51" customFormat="1" ht="13.5" customHeight="1" x14ac:dyDescent="0.2"/>
    <row r="647" s="51" customFormat="1" ht="13.5" customHeight="1" x14ac:dyDescent="0.2"/>
    <row r="648" s="51" customFormat="1" ht="13.5" customHeight="1" x14ac:dyDescent="0.2"/>
    <row r="649" s="51" customFormat="1" ht="13.5" customHeight="1" x14ac:dyDescent="0.2"/>
    <row r="650" s="51" customFormat="1" ht="13.5" customHeight="1" x14ac:dyDescent="0.2"/>
    <row r="651" s="51" customFormat="1" ht="13.5" customHeight="1" x14ac:dyDescent="0.2"/>
    <row r="652" s="51" customFormat="1" ht="13.5" customHeight="1" x14ac:dyDescent="0.2"/>
    <row r="653" s="51" customFormat="1" ht="13.5" customHeight="1" x14ac:dyDescent="0.2"/>
    <row r="654" s="51" customFormat="1" ht="13.5" customHeight="1" x14ac:dyDescent="0.2"/>
    <row r="655" s="51" customFormat="1" ht="13.5" customHeight="1" x14ac:dyDescent="0.2"/>
    <row r="656" s="51" customFormat="1" ht="13.5" customHeight="1" x14ac:dyDescent="0.2"/>
    <row r="657" s="51" customFormat="1" ht="13.5" customHeight="1" x14ac:dyDescent="0.2"/>
    <row r="658" s="51" customFormat="1" ht="13.5" customHeight="1" x14ac:dyDescent="0.2"/>
    <row r="659" s="51" customFormat="1" ht="13.5" customHeight="1" x14ac:dyDescent="0.2"/>
    <row r="660" s="51" customFormat="1" ht="13.5" customHeight="1" x14ac:dyDescent="0.2"/>
    <row r="661" s="51" customFormat="1" ht="13.5" customHeight="1" x14ac:dyDescent="0.2"/>
    <row r="662" s="51" customFormat="1" ht="13.5" customHeight="1" x14ac:dyDescent="0.2"/>
    <row r="663" s="51" customFormat="1" ht="13.5" customHeight="1" x14ac:dyDescent="0.2"/>
    <row r="664" s="51" customFormat="1" ht="13.5" customHeight="1" x14ac:dyDescent="0.2"/>
    <row r="665" s="51" customFormat="1" ht="13.5" customHeight="1" x14ac:dyDescent="0.2"/>
    <row r="666" s="51" customFormat="1" ht="13.5" customHeight="1" x14ac:dyDescent="0.2"/>
    <row r="667" s="51" customFormat="1" ht="13.5" customHeight="1" x14ac:dyDescent="0.2"/>
    <row r="668" s="51" customFormat="1" ht="13.5" customHeight="1" x14ac:dyDescent="0.2"/>
    <row r="669" s="51" customFormat="1" ht="13.5" customHeight="1" x14ac:dyDescent="0.2"/>
    <row r="670" s="51" customFormat="1" ht="13.5" customHeight="1" x14ac:dyDescent="0.2"/>
    <row r="671" s="51" customFormat="1" ht="13.5" customHeight="1" x14ac:dyDescent="0.2"/>
    <row r="672" s="51" customFormat="1" ht="13.5" customHeight="1" x14ac:dyDescent="0.2"/>
    <row r="673" s="51" customFormat="1" ht="13.5" customHeight="1" x14ac:dyDescent="0.2"/>
    <row r="674" s="51" customFormat="1" ht="13.5" customHeight="1" x14ac:dyDescent="0.2"/>
    <row r="675" s="51" customFormat="1" ht="13.5" customHeight="1" x14ac:dyDescent="0.2"/>
    <row r="676" s="51" customFormat="1" ht="13.5" customHeight="1" x14ac:dyDescent="0.2"/>
    <row r="677" s="51" customFormat="1" ht="13.5" customHeight="1" x14ac:dyDescent="0.2"/>
    <row r="678" s="51" customFormat="1" ht="13.5" customHeight="1" x14ac:dyDescent="0.2"/>
    <row r="679" s="51" customFormat="1" ht="13.5" customHeight="1" x14ac:dyDescent="0.2"/>
    <row r="680" s="51" customFormat="1" ht="13.5" customHeight="1" x14ac:dyDescent="0.2"/>
    <row r="681" s="51" customFormat="1" ht="13.5" customHeight="1" x14ac:dyDescent="0.2"/>
    <row r="682" s="51" customFormat="1" ht="13.5" customHeight="1" x14ac:dyDescent="0.2"/>
    <row r="683" s="51" customFormat="1" ht="13.5" customHeight="1" x14ac:dyDescent="0.2"/>
    <row r="684" s="51" customFormat="1" ht="13.5" customHeight="1" x14ac:dyDescent="0.2"/>
    <row r="685" s="51" customFormat="1" ht="13.5" customHeight="1" x14ac:dyDescent="0.2"/>
    <row r="686" s="51" customFormat="1" ht="13.5" customHeight="1" x14ac:dyDescent="0.2"/>
    <row r="687" s="51" customFormat="1" ht="13.5" customHeight="1" x14ac:dyDescent="0.2"/>
    <row r="688" s="51" customFormat="1" ht="13.5" customHeight="1" x14ac:dyDescent="0.2"/>
    <row r="689" s="51" customFormat="1" ht="13.5" customHeight="1" x14ac:dyDescent="0.2"/>
    <row r="690" s="51" customFormat="1" ht="13.5" customHeight="1" x14ac:dyDescent="0.2"/>
    <row r="691" s="51" customFormat="1" ht="13.5" customHeight="1" x14ac:dyDescent="0.2"/>
    <row r="692" s="51" customFormat="1" ht="13.5" customHeight="1" x14ac:dyDescent="0.2"/>
    <row r="693" s="51" customFormat="1" ht="13.5" customHeight="1" x14ac:dyDescent="0.2"/>
    <row r="694" s="51" customFormat="1" ht="13.5" customHeight="1" x14ac:dyDescent="0.2"/>
    <row r="695" s="51" customFormat="1" ht="13.5" customHeight="1" x14ac:dyDescent="0.2"/>
    <row r="696" s="51" customFormat="1" ht="13.5" customHeight="1" x14ac:dyDescent="0.2"/>
    <row r="697" s="51" customFormat="1" ht="13.5" customHeight="1" x14ac:dyDescent="0.2"/>
    <row r="698" s="51" customFormat="1" ht="13.5" customHeight="1" x14ac:dyDescent="0.2"/>
    <row r="699" s="51" customFormat="1" ht="13.5" customHeight="1" x14ac:dyDescent="0.2"/>
    <row r="700" s="51" customFormat="1" ht="13.5" customHeight="1" x14ac:dyDescent="0.2"/>
    <row r="701" s="51" customFormat="1" ht="13.5" customHeight="1" x14ac:dyDescent="0.2"/>
    <row r="702" s="51" customFormat="1" ht="13.5" customHeight="1" x14ac:dyDescent="0.2"/>
    <row r="703" s="51" customFormat="1" ht="13.5" customHeight="1" x14ac:dyDescent="0.2"/>
    <row r="704" s="51" customFormat="1" ht="13.5" customHeight="1" x14ac:dyDescent="0.2"/>
    <row r="705" s="51" customFormat="1" ht="13.5" customHeight="1" x14ac:dyDescent="0.2"/>
    <row r="706" s="51" customFormat="1" ht="13.5" customHeight="1" x14ac:dyDescent="0.2"/>
    <row r="707" s="51" customFormat="1" ht="13.5" customHeight="1" x14ac:dyDescent="0.2"/>
    <row r="708" s="51" customFormat="1" ht="13.5" customHeight="1" x14ac:dyDescent="0.2"/>
    <row r="709" s="51" customFormat="1" ht="13.5" customHeight="1" x14ac:dyDescent="0.2"/>
    <row r="710" s="51" customFormat="1" ht="13.5" customHeight="1" x14ac:dyDescent="0.2"/>
    <row r="711" s="51" customFormat="1" ht="13.5" customHeight="1" x14ac:dyDescent="0.2"/>
    <row r="712" s="51" customFormat="1" ht="13.5" customHeight="1" x14ac:dyDescent="0.2"/>
    <row r="713" s="51" customFormat="1" ht="13.5" customHeight="1" x14ac:dyDescent="0.2"/>
    <row r="714" s="51" customFormat="1" ht="13.5" customHeight="1" x14ac:dyDescent="0.2"/>
    <row r="715" s="51" customFormat="1" ht="13.5" customHeight="1" x14ac:dyDescent="0.2"/>
    <row r="716" s="51" customFormat="1" ht="13.5" customHeight="1" x14ac:dyDescent="0.2"/>
    <row r="717" s="51" customFormat="1" ht="13.5" customHeight="1" x14ac:dyDescent="0.2"/>
    <row r="718" s="51" customFormat="1" ht="13.5" customHeight="1" x14ac:dyDescent="0.2"/>
    <row r="719" s="51" customFormat="1" ht="13.5" customHeight="1" x14ac:dyDescent="0.2"/>
    <row r="720" s="51" customFormat="1" ht="13.5" customHeight="1" x14ac:dyDescent="0.2"/>
    <row r="721" s="51" customFormat="1" ht="13.5" customHeight="1" x14ac:dyDescent="0.2"/>
    <row r="722" s="51" customFormat="1" ht="13.5" customHeight="1" x14ac:dyDescent="0.2"/>
    <row r="723" s="51" customFormat="1" ht="13.5" customHeight="1" x14ac:dyDescent="0.2"/>
    <row r="724" s="51" customFormat="1" ht="13.5" customHeight="1" x14ac:dyDescent="0.2"/>
    <row r="725" s="51" customFormat="1" ht="13.5" customHeight="1" x14ac:dyDescent="0.2"/>
    <row r="726" s="51" customFormat="1" ht="13.5" customHeight="1" x14ac:dyDescent="0.2"/>
    <row r="727" s="51" customFormat="1" ht="13.5" customHeight="1" x14ac:dyDescent="0.2"/>
    <row r="728" s="51" customFormat="1" ht="13.5" customHeight="1" x14ac:dyDescent="0.2"/>
    <row r="729" s="51" customFormat="1" ht="13.5" customHeight="1" x14ac:dyDescent="0.2"/>
    <row r="730" s="51" customFormat="1" ht="13.5" customHeight="1" x14ac:dyDescent="0.2"/>
    <row r="731" s="51" customFormat="1" ht="13.5" customHeight="1" x14ac:dyDescent="0.2"/>
    <row r="732" s="51" customFormat="1" ht="13.5" customHeight="1" x14ac:dyDescent="0.2"/>
    <row r="733" s="51" customFormat="1" ht="13.5" customHeight="1" x14ac:dyDescent="0.2"/>
    <row r="734" s="51" customFormat="1" ht="13.5" customHeight="1" x14ac:dyDescent="0.2"/>
    <row r="735" s="51" customFormat="1" ht="13.5" customHeight="1" x14ac:dyDescent="0.2"/>
    <row r="736" s="51" customFormat="1" ht="13.5" customHeight="1" x14ac:dyDescent="0.2"/>
    <row r="737" s="51" customFormat="1" ht="13.5" customHeight="1" x14ac:dyDescent="0.2"/>
    <row r="738" s="51" customFormat="1" ht="13.5" customHeight="1" x14ac:dyDescent="0.2"/>
    <row r="739" s="51" customFormat="1" ht="13.5" customHeight="1" x14ac:dyDescent="0.2"/>
    <row r="740" s="51" customFormat="1" ht="13.5" customHeight="1" x14ac:dyDescent="0.2"/>
    <row r="741" s="51" customFormat="1" ht="13.5" customHeight="1" x14ac:dyDescent="0.2"/>
    <row r="742" s="51" customFormat="1" ht="13.5" customHeight="1" x14ac:dyDescent="0.2"/>
    <row r="743" s="51" customFormat="1" ht="13.5" customHeight="1" x14ac:dyDescent="0.2"/>
    <row r="744" s="51" customFormat="1" ht="13.5" customHeight="1" x14ac:dyDescent="0.2"/>
    <row r="745" s="51" customFormat="1" ht="13.5" customHeight="1" x14ac:dyDescent="0.2"/>
    <row r="746" s="51" customFormat="1" ht="13.5" customHeight="1" x14ac:dyDescent="0.2"/>
    <row r="747" s="51" customFormat="1" ht="13.5" customHeight="1" x14ac:dyDescent="0.2"/>
    <row r="748" s="51" customFormat="1" ht="13.5" customHeight="1" x14ac:dyDescent="0.2"/>
    <row r="749" s="51" customFormat="1" ht="13.5" customHeight="1" x14ac:dyDescent="0.2"/>
    <row r="750" s="51" customFormat="1" ht="13.5" customHeight="1" x14ac:dyDescent="0.2"/>
    <row r="751" s="51" customFormat="1" ht="13.5" customHeight="1" x14ac:dyDescent="0.2"/>
    <row r="752" s="51" customFormat="1" ht="13.5" customHeight="1" x14ac:dyDescent="0.2"/>
    <row r="753" s="51" customFormat="1" ht="13.5" customHeight="1" x14ac:dyDescent="0.2"/>
    <row r="754" s="51" customFormat="1" ht="13.5" customHeight="1" x14ac:dyDescent="0.2"/>
    <row r="755" s="51" customFormat="1" ht="13.5" customHeight="1" x14ac:dyDescent="0.2"/>
    <row r="756" s="51" customFormat="1" ht="13.5" customHeight="1" x14ac:dyDescent="0.2"/>
    <row r="757" s="51" customFormat="1" ht="13.5" customHeight="1" x14ac:dyDescent="0.2"/>
    <row r="758" s="51" customFormat="1" ht="13.5" customHeight="1" x14ac:dyDescent="0.2"/>
    <row r="759" s="51" customFormat="1" ht="13.5" customHeight="1" x14ac:dyDescent="0.2"/>
    <row r="760" s="51" customFormat="1" ht="13.5" customHeight="1" x14ac:dyDescent="0.2"/>
    <row r="761" s="51" customFormat="1" ht="13.5" customHeight="1" x14ac:dyDescent="0.2"/>
    <row r="762" s="51" customFormat="1" ht="13.5" customHeight="1" x14ac:dyDescent="0.2"/>
    <row r="763" s="51" customFormat="1" ht="13.5" customHeight="1" x14ac:dyDescent="0.2"/>
    <row r="764" s="51" customFormat="1" ht="13.5" customHeight="1" x14ac:dyDescent="0.2"/>
    <row r="765" s="51" customFormat="1" ht="13.5" customHeight="1" x14ac:dyDescent="0.2"/>
    <row r="766" s="51" customFormat="1" ht="13.5" customHeight="1" x14ac:dyDescent="0.2"/>
    <row r="767" s="51" customFormat="1" ht="13.5" customHeight="1" x14ac:dyDescent="0.2"/>
    <row r="768" s="51" customFormat="1" ht="13.5" customHeight="1" x14ac:dyDescent="0.2"/>
    <row r="769" s="51" customFormat="1" ht="13.5" customHeight="1" x14ac:dyDescent="0.2"/>
    <row r="770" s="51" customFormat="1" ht="13.5" customHeight="1" x14ac:dyDescent="0.2"/>
    <row r="771" s="51" customFormat="1" ht="13.5" customHeight="1" x14ac:dyDescent="0.2"/>
    <row r="772" s="51" customFormat="1" ht="13.5" customHeight="1" x14ac:dyDescent="0.2"/>
    <row r="773" s="51" customFormat="1" ht="13.5" customHeight="1" x14ac:dyDescent="0.2"/>
    <row r="774" s="51" customFormat="1" ht="13.5" customHeight="1" x14ac:dyDescent="0.2"/>
    <row r="775" s="51" customFormat="1" ht="13.5" customHeight="1" x14ac:dyDescent="0.2"/>
    <row r="776" s="51" customFormat="1" ht="13.5" customHeight="1" x14ac:dyDescent="0.2"/>
    <row r="777" s="51" customFormat="1" ht="13.5" customHeight="1" x14ac:dyDescent="0.2"/>
    <row r="778" s="51" customFormat="1" ht="13.5" customHeight="1" x14ac:dyDescent="0.2"/>
    <row r="779" s="51" customFormat="1" ht="13.5" customHeight="1" x14ac:dyDescent="0.2"/>
    <row r="780" s="51" customFormat="1" ht="13.5" customHeight="1" x14ac:dyDescent="0.2"/>
    <row r="781" s="51" customFormat="1" ht="13.5" customHeight="1" x14ac:dyDescent="0.2"/>
    <row r="782" s="51" customFormat="1" ht="13.5" customHeight="1" x14ac:dyDescent="0.2"/>
    <row r="783" s="51" customFormat="1" ht="13.5" customHeight="1" x14ac:dyDescent="0.2"/>
    <row r="784" s="51" customFormat="1" ht="13.5" customHeight="1" x14ac:dyDescent="0.2"/>
    <row r="785" s="51" customFormat="1" ht="13.5" customHeight="1" x14ac:dyDescent="0.2"/>
    <row r="786" s="51" customFormat="1" ht="13.5" customHeight="1" x14ac:dyDescent="0.2"/>
    <row r="787" s="51" customFormat="1" ht="13.5" customHeight="1" x14ac:dyDescent="0.2"/>
    <row r="788" s="51" customFormat="1" ht="13.5" customHeight="1" x14ac:dyDescent="0.2"/>
    <row r="789" s="51" customFormat="1" ht="13.5" customHeight="1" x14ac:dyDescent="0.2"/>
    <row r="790" s="51" customFormat="1" ht="13.5" customHeight="1" x14ac:dyDescent="0.2"/>
    <row r="791" s="51" customFormat="1" ht="13.5" customHeight="1" x14ac:dyDescent="0.2"/>
    <row r="792" s="51" customFormat="1" ht="13.5" customHeight="1" x14ac:dyDescent="0.2"/>
    <row r="793" s="51" customFormat="1" ht="13.5" customHeight="1" x14ac:dyDescent="0.2"/>
    <row r="794" s="51" customFormat="1" ht="13.5" customHeight="1" x14ac:dyDescent="0.2"/>
    <row r="795" s="51" customFormat="1" ht="13.5" customHeight="1" x14ac:dyDescent="0.2"/>
    <row r="796" s="51" customFormat="1" ht="13.5" customHeight="1" x14ac:dyDescent="0.2"/>
    <row r="797" s="51" customFormat="1" ht="13.5" customHeight="1" x14ac:dyDescent="0.2"/>
    <row r="798" s="51" customFormat="1" ht="13.5" customHeight="1" x14ac:dyDescent="0.2"/>
    <row r="799" s="51" customFormat="1" ht="13.5" customHeight="1" x14ac:dyDescent="0.2"/>
    <row r="800" s="51" customFormat="1" ht="13.5" customHeight="1" x14ac:dyDescent="0.2"/>
    <row r="801" s="51" customFormat="1" ht="13.5" customHeight="1" x14ac:dyDescent="0.2"/>
    <row r="802" s="51" customFormat="1" ht="13.5" customHeight="1" x14ac:dyDescent="0.2"/>
    <row r="803" s="51" customFormat="1" ht="13.5" customHeight="1" x14ac:dyDescent="0.2"/>
    <row r="804" s="51" customFormat="1" ht="13.5" customHeight="1" x14ac:dyDescent="0.2"/>
    <row r="805" s="51" customFormat="1" ht="13.5" customHeight="1" x14ac:dyDescent="0.2"/>
    <row r="806" s="51" customFormat="1" ht="13.5" customHeight="1" x14ac:dyDescent="0.2"/>
    <row r="807" s="51" customFormat="1" ht="13.5" customHeight="1" x14ac:dyDescent="0.2"/>
    <row r="808" s="51" customFormat="1" ht="13.5" customHeight="1" x14ac:dyDescent="0.2"/>
    <row r="809" s="51" customFormat="1" ht="13.5" customHeight="1" x14ac:dyDescent="0.2"/>
    <row r="810" s="51" customFormat="1" ht="13.5" customHeight="1" x14ac:dyDescent="0.2"/>
    <row r="811" s="51" customFormat="1" ht="13.5" customHeight="1" x14ac:dyDescent="0.2"/>
    <row r="812" s="51" customFormat="1" ht="13.5" customHeight="1" x14ac:dyDescent="0.2"/>
    <row r="813" s="51" customFormat="1" ht="13.5" customHeight="1" x14ac:dyDescent="0.2"/>
    <row r="814" s="51" customFormat="1" ht="13.5" customHeight="1" x14ac:dyDescent="0.2"/>
    <row r="815" s="51" customFormat="1" ht="13.5" customHeight="1" x14ac:dyDescent="0.2"/>
    <row r="816" s="51" customFormat="1" ht="13.5" customHeight="1" x14ac:dyDescent="0.2"/>
    <row r="817" s="51" customFormat="1" ht="13.5" customHeight="1" x14ac:dyDescent="0.2"/>
    <row r="818" s="51" customFormat="1" ht="13.5" customHeight="1" x14ac:dyDescent="0.2"/>
    <row r="819" s="51" customFormat="1" ht="13.5" customHeight="1" x14ac:dyDescent="0.2"/>
    <row r="820" s="51" customFormat="1" ht="13.5" customHeight="1" x14ac:dyDescent="0.2"/>
    <row r="821" s="51" customFormat="1" ht="13.5" customHeight="1" x14ac:dyDescent="0.2"/>
    <row r="822" s="51" customFormat="1" ht="13.5" customHeight="1" x14ac:dyDescent="0.2"/>
    <row r="823" s="51" customFormat="1" ht="13.5" customHeight="1" x14ac:dyDescent="0.2"/>
    <row r="824" s="51" customFormat="1" ht="13.5" customHeight="1" x14ac:dyDescent="0.2"/>
    <row r="825" s="51" customFormat="1" ht="13.5" customHeight="1" x14ac:dyDescent="0.2"/>
    <row r="826" s="51" customFormat="1" ht="13.5" customHeight="1" x14ac:dyDescent="0.2"/>
    <row r="827" s="51" customFormat="1" ht="13.5" customHeight="1" x14ac:dyDescent="0.2"/>
    <row r="828" s="51" customFormat="1" ht="13.5" customHeight="1" x14ac:dyDescent="0.2"/>
    <row r="829" s="51" customFormat="1" ht="13.5" customHeight="1" x14ac:dyDescent="0.2"/>
    <row r="830" s="51" customFormat="1" ht="13.5" customHeight="1" x14ac:dyDescent="0.2"/>
    <row r="831" s="51" customFormat="1" ht="13.5" customHeight="1" x14ac:dyDescent="0.2"/>
    <row r="832" s="51" customFormat="1" ht="13.5" customHeight="1" x14ac:dyDescent="0.2"/>
    <row r="833" s="51" customFormat="1" ht="13.5" customHeight="1" x14ac:dyDescent="0.2"/>
    <row r="834" s="51" customFormat="1" ht="13.5" customHeight="1" x14ac:dyDescent="0.2"/>
    <row r="835" s="51" customFormat="1" ht="13.5" customHeight="1" x14ac:dyDescent="0.2"/>
    <row r="836" s="51" customFormat="1" ht="13.5" customHeight="1" x14ac:dyDescent="0.2"/>
    <row r="837" s="51" customFormat="1" ht="13.5" customHeight="1" x14ac:dyDescent="0.2"/>
    <row r="838" s="51" customFormat="1" ht="13.5" customHeight="1" x14ac:dyDescent="0.2"/>
    <row r="839" s="51" customFormat="1" ht="13.5" customHeight="1" x14ac:dyDescent="0.2"/>
    <row r="840" s="51" customFormat="1" ht="13.5" customHeight="1" x14ac:dyDescent="0.2"/>
    <row r="841" s="51" customFormat="1" ht="13.5" customHeight="1" x14ac:dyDescent="0.2"/>
    <row r="842" s="51" customFormat="1" ht="13.5" customHeight="1" x14ac:dyDescent="0.2"/>
    <row r="843" s="51" customFormat="1" ht="13.5" customHeight="1" x14ac:dyDescent="0.2"/>
    <row r="844" s="51" customFormat="1" ht="13.5" customHeight="1" x14ac:dyDescent="0.2"/>
    <row r="845" s="51" customFormat="1" ht="13.5" customHeight="1" x14ac:dyDescent="0.2"/>
    <row r="846" s="51" customFormat="1" ht="13.5" customHeight="1" x14ac:dyDescent="0.2"/>
    <row r="847" s="51" customFormat="1" ht="13.5" customHeight="1" x14ac:dyDescent="0.2"/>
    <row r="848" s="51" customFormat="1" ht="13.5" customHeight="1" x14ac:dyDescent="0.2"/>
    <row r="849" s="51" customFormat="1" ht="13.5" customHeight="1" x14ac:dyDescent="0.2"/>
    <row r="850" s="51" customFormat="1" ht="13.5" customHeight="1" x14ac:dyDescent="0.2"/>
    <row r="851" s="51" customFormat="1" ht="13.5" customHeight="1" x14ac:dyDescent="0.2"/>
    <row r="852" s="51" customFormat="1" ht="13.5" customHeight="1" x14ac:dyDescent="0.2"/>
    <row r="853" s="51" customFormat="1" ht="13.5" customHeight="1" x14ac:dyDescent="0.2"/>
    <row r="854" s="51" customFormat="1" ht="13.5" customHeight="1" x14ac:dyDescent="0.2"/>
    <row r="855" s="51" customFormat="1" ht="13.5" customHeight="1" x14ac:dyDescent="0.2"/>
    <row r="856" s="51" customFormat="1" ht="13.5" customHeight="1" x14ac:dyDescent="0.2"/>
    <row r="857" s="51" customFormat="1" ht="13.5" customHeight="1" x14ac:dyDescent="0.2"/>
    <row r="858" s="51" customFormat="1" ht="13.5" customHeight="1" x14ac:dyDescent="0.2"/>
    <row r="859" s="51" customFormat="1" ht="13.5" customHeight="1" x14ac:dyDescent="0.2"/>
    <row r="860" s="51" customFormat="1" ht="13.5" customHeight="1" x14ac:dyDescent="0.2"/>
    <row r="861" s="51" customFormat="1" ht="13.5" customHeight="1" x14ac:dyDescent="0.2"/>
    <row r="862" s="51" customFormat="1" ht="13.5" customHeight="1" x14ac:dyDescent="0.2"/>
    <row r="863" s="51" customFormat="1" ht="13.5" customHeight="1" x14ac:dyDescent="0.2"/>
    <row r="864" s="51" customFormat="1" ht="13.5" customHeight="1" x14ac:dyDescent="0.2"/>
    <row r="865" s="51" customFormat="1" ht="13.5" customHeight="1" x14ac:dyDescent="0.2"/>
    <row r="866" s="51" customFormat="1" ht="13.5" customHeight="1" x14ac:dyDescent="0.2"/>
    <row r="867" s="51" customFormat="1" ht="13.5" customHeight="1" x14ac:dyDescent="0.2"/>
    <row r="868" s="51" customFormat="1" ht="13.5" customHeight="1" x14ac:dyDescent="0.2"/>
    <row r="869" s="51" customFormat="1" ht="13.5" customHeight="1" x14ac:dyDescent="0.2"/>
    <row r="870" s="51" customFormat="1" ht="13.5" customHeight="1" x14ac:dyDescent="0.2"/>
    <row r="871" s="51" customFormat="1" ht="13.5" customHeight="1" x14ac:dyDescent="0.2"/>
    <row r="872" s="51" customFormat="1" ht="13.5" customHeight="1" x14ac:dyDescent="0.2"/>
    <row r="873" s="51" customFormat="1" ht="13.5" customHeight="1" x14ac:dyDescent="0.2"/>
    <row r="874" s="51" customFormat="1" ht="13.5" customHeight="1" x14ac:dyDescent="0.2"/>
    <row r="875" s="51" customFormat="1" ht="13.5" customHeight="1" x14ac:dyDescent="0.2"/>
    <row r="876" s="51" customFormat="1" ht="13.5" customHeight="1" x14ac:dyDescent="0.2"/>
    <row r="877" s="51" customFormat="1" ht="13.5" customHeight="1" x14ac:dyDescent="0.2"/>
    <row r="878" s="51" customFormat="1" ht="13.5" customHeight="1" x14ac:dyDescent="0.2"/>
    <row r="879" s="51" customFormat="1" ht="13.5" customHeight="1" x14ac:dyDescent="0.2"/>
    <row r="880" s="51" customFormat="1" ht="13.5" customHeight="1" x14ac:dyDescent="0.2"/>
    <row r="881" s="51" customFormat="1" ht="13.5" customHeight="1" x14ac:dyDescent="0.2"/>
    <row r="882" s="51" customFormat="1" ht="13.5" customHeight="1" x14ac:dyDescent="0.2"/>
    <row r="883" s="51" customFormat="1" ht="13.5" customHeight="1" x14ac:dyDescent="0.2"/>
    <row r="884" s="51" customFormat="1" ht="13.5" customHeight="1" x14ac:dyDescent="0.2"/>
    <row r="885" s="51" customFormat="1" ht="13.5" customHeight="1" x14ac:dyDescent="0.2"/>
    <row r="886" s="51" customFormat="1" ht="13.5" customHeight="1" x14ac:dyDescent="0.2"/>
    <row r="887" s="51" customFormat="1" ht="13.5" customHeight="1" x14ac:dyDescent="0.2"/>
    <row r="888" s="51" customFormat="1" ht="13.5" customHeight="1" x14ac:dyDescent="0.2"/>
    <row r="889" s="51" customFormat="1" ht="13.5" customHeight="1" x14ac:dyDescent="0.2"/>
    <row r="890" s="51" customFormat="1" ht="13.5" customHeight="1" x14ac:dyDescent="0.2"/>
    <row r="891" s="51" customFormat="1" ht="13.5" customHeight="1" x14ac:dyDescent="0.2"/>
    <row r="892" s="51" customFormat="1" ht="13.5" customHeight="1" x14ac:dyDescent="0.2"/>
    <row r="893" s="51" customFormat="1" ht="13.5" customHeight="1" x14ac:dyDescent="0.2"/>
    <row r="894" s="51" customFormat="1" ht="13.5" customHeight="1" x14ac:dyDescent="0.2"/>
    <row r="895" s="51" customFormat="1" ht="13.5" customHeight="1" x14ac:dyDescent="0.2"/>
    <row r="896" s="51" customFormat="1" ht="13.5" customHeight="1" x14ac:dyDescent="0.2"/>
    <row r="897" s="51" customFormat="1" ht="13.5" customHeight="1" x14ac:dyDescent="0.2"/>
    <row r="898" s="51" customFormat="1" ht="13.5" customHeight="1" x14ac:dyDescent="0.2"/>
    <row r="899" s="51" customFormat="1" ht="13.5" customHeight="1" x14ac:dyDescent="0.2"/>
    <row r="900" s="51" customFormat="1" ht="13.5" customHeight="1" x14ac:dyDescent="0.2"/>
    <row r="901" s="51" customFormat="1" ht="13.5" customHeight="1" x14ac:dyDescent="0.2"/>
    <row r="902" s="51" customFormat="1" ht="13.5" customHeight="1" x14ac:dyDescent="0.2"/>
    <row r="903" s="51" customFormat="1" ht="13.5" customHeight="1" x14ac:dyDescent="0.2"/>
    <row r="904" s="51" customFormat="1" ht="13.5" customHeight="1" x14ac:dyDescent="0.2"/>
    <row r="905" s="51" customFormat="1" ht="13.5" customHeight="1" x14ac:dyDescent="0.2"/>
    <row r="906" s="51" customFormat="1" ht="13.5" customHeight="1" x14ac:dyDescent="0.2"/>
    <row r="907" s="51" customFormat="1" ht="13.5" customHeight="1" x14ac:dyDescent="0.2"/>
    <row r="908" s="51" customFormat="1" ht="13.5" customHeight="1" x14ac:dyDescent="0.2"/>
    <row r="909" s="51" customFormat="1" ht="13.5" customHeight="1" x14ac:dyDescent="0.2"/>
    <row r="910" s="51" customFormat="1" ht="13.5" customHeight="1" x14ac:dyDescent="0.2"/>
    <row r="911" s="51" customFormat="1" ht="13.5" customHeight="1" x14ac:dyDescent="0.2"/>
    <row r="912" s="51" customFormat="1" ht="13.5" customHeight="1" x14ac:dyDescent="0.2"/>
    <row r="913" s="51" customFormat="1" ht="13.5" customHeight="1" x14ac:dyDescent="0.2"/>
    <row r="914" s="51" customFormat="1" ht="13.5" customHeight="1" x14ac:dyDescent="0.2"/>
    <row r="915" s="51" customFormat="1" ht="13.5" customHeight="1" x14ac:dyDescent="0.2"/>
    <row r="916" s="51" customFormat="1" ht="13.5" customHeight="1" x14ac:dyDescent="0.2"/>
    <row r="917" s="51" customFormat="1" ht="13.5" customHeight="1" x14ac:dyDescent="0.2"/>
    <row r="918" s="51" customFormat="1" ht="13.5" customHeight="1" x14ac:dyDescent="0.2"/>
    <row r="919" s="51" customFormat="1" ht="13.5" customHeight="1" x14ac:dyDescent="0.2"/>
    <row r="920" s="51" customFormat="1" ht="13.5" customHeight="1" x14ac:dyDescent="0.2"/>
    <row r="921" s="51" customFormat="1" ht="13.5" customHeight="1" x14ac:dyDescent="0.2"/>
    <row r="922" s="51" customFormat="1" ht="13.5" customHeight="1" x14ac:dyDescent="0.2"/>
    <row r="923" s="51" customFormat="1" ht="13.5" customHeight="1" x14ac:dyDescent="0.2"/>
    <row r="924" s="51" customFormat="1" ht="13.5" customHeight="1" x14ac:dyDescent="0.2"/>
    <row r="925" s="51" customFormat="1" ht="13.5" customHeight="1" x14ac:dyDescent="0.2"/>
    <row r="926" s="51" customFormat="1" ht="13.5" customHeight="1" x14ac:dyDescent="0.2"/>
    <row r="927" s="51" customFormat="1" ht="13.5" customHeight="1" x14ac:dyDescent="0.2"/>
    <row r="928" s="51" customFormat="1" ht="13.5" customHeight="1" x14ac:dyDescent="0.2"/>
    <row r="929" s="51" customFormat="1" ht="13.5" customHeight="1" x14ac:dyDescent="0.2"/>
    <row r="930" s="51" customFormat="1" ht="13.5" customHeight="1" x14ac:dyDescent="0.2"/>
    <row r="931" s="51" customFormat="1" ht="13.5" customHeight="1" x14ac:dyDescent="0.2"/>
    <row r="932" s="51" customFormat="1" ht="13.5" customHeight="1" x14ac:dyDescent="0.2"/>
    <row r="933" s="51" customFormat="1" ht="13.5" customHeight="1" x14ac:dyDescent="0.2"/>
    <row r="934" s="51" customFormat="1" ht="13.5" customHeight="1" x14ac:dyDescent="0.2"/>
    <row r="935" s="51" customFormat="1" ht="13.5" customHeight="1" x14ac:dyDescent="0.2"/>
    <row r="936" s="51" customFormat="1" ht="13.5" customHeight="1" x14ac:dyDescent="0.2"/>
    <row r="937" s="51" customFormat="1" ht="13.5" customHeight="1" x14ac:dyDescent="0.2"/>
    <row r="938" s="51" customFormat="1" ht="13.5" customHeight="1" x14ac:dyDescent="0.2"/>
    <row r="939" s="51" customFormat="1" ht="13.5" customHeight="1" x14ac:dyDescent="0.2"/>
    <row r="940" s="51" customFormat="1" ht="13.5" customHeight="1" x14ac:dyDescent="0.2"/>
    <row r="941" s="51" customFormat="1" ht="13.5" customHeight="1" x14ac:dyDescent="0.2"/>
    <row r="942" s="51" customFormat="1" ht="13.5" customHeight="1" x14ac:dyDescent="0.2"/>
    <row r="943" s="51" customFormat="1" ht="13.5" customHeight="1" x14ac:dyDescent="0.2"/>
    <row r="944" s="51" customFormat="1" ht="13.5" customHeight="1" x14ac:dyDescent="0.2"/>
    <row r="945" s="51" customFormat="1" ht="13.5" customHeight="1" x14ac:dyDescent="0.2"/>
    <row r="946" s="51" customFormat="1" ht="13.5" customHeight="1" x14ac:dyDescent="0.2"/>
    <row r="947" s="51" customFormat="1" ht="13.5" customHeight="1" x14ac:dyDescent="0.2"/>
    <row r="948" s="51" customFormat="1" ht="13.5" customHeight="1" x14ac:dyDescent="0.2"/>
    <row r="949" s="51" customFormat="1" ht="13.5" customHeight="1" x14ac:dyDescent="0.2"/>
    <row r="950" s="51" customFormat="1" ht="13.5" customHeight="1" x14ac:dyDescent="0.2"/>
    <row r="951" s="51" customFormat="1" ht="13.5" customHeight="1" x14ac:dyDescent="0.2"/>
    <row r="952" s="51" customFormat="1" ht="13.5" customHeight="1" x14ac:dyDescent="0.2"/>
    <row r="953" s="51" customFormat="1" ht="13.5" customHeight="1" x14ac:dyDescent="0.2"/>
    <row r="954" s="51" customFormat="1" ht="13.5" customHeight="1" x14ac:dyDescent="0.2"/>
    <row r="955" s="51" customFormat="1" ht="13.5" customHeight="1" x14ac:dyDescent="0.2"/>
    <row r="956" s="51" customFormat="1" ht="13.5" customHeight="1" x14ac:dyDescent="0.2"/>
    <row r="957" s="51" customFormat="1" ht="13.5" customHeight="1" x14ac:dyDescent="0.2"/>
    <row r="958" s="51" customFormat="1" ht="13.5" customHeight="1" x14ac:dyDescent="0.2"/>
    <row r="959" s="51" customFormat="1" ht="13.5" customHeight="1" x14ac:dyDescent="0.2"/>
    <row r="960" s="51" customFormat="1" ht="13.5" customHeight="1" x14ac:dyDescent="0.2"/>
    <row r="961" s="51" customFormat="1" ht="13.5" customHeight="1" x14ac:dyDescent="0.2"/>
    <row r="962" s="51" customFormat="1" ht="13.5" customHeight="1" x14ac:dyDescent="0.2"/>
    <row r="963" s="51" customFormat="1" ht="13.5" customHeight="1" x14ac:dyDescent="0.2"/>
    <row r="964" s="51" customFormat="1" ht="13.5" customHeight="1" x14ac:dyDescent="0.2"/>
    <row r="965" s="51" customFormat="1" ht="13.5" customHeight="1" x14ac:dyDescent="0.2"/>
    <row r="966" s="51" customFormat="1" ht="13.5" customHeight="1" x14ac:dyDescent="0.2"/>
    <row r="967" s="51" customFormat="1" ht="13.5" customHeight="1" x14ac:dyDescent="0.2"/>
    <row r="968" s="51" customFormat="1" ht="13.5" customHeight="1" x14ac:dyDescent="0.2"/>
    <row r="969" s="51" customFormat="1" ht="13.5" customHeight="1" x14ac:dyDescent="0.2"/>
    <row r="970" s="51" customFormat="1" ht="13.5" customHeight="1" x14ac:dyDescent="0.2"/>
    <row r="971" s="51" customFormat="1" ht="13.5" customHeight="1" x14ac:dyDescent="0.2"/>
    <row r="972" s="51" customFormat="1" ht="13.5" customHeight="1" x14ac:dyDescent="0.2"/>
    <row r="973" s="51" customFormat="1" ht="13.5" customHeight="1" x14ac:dyDescent="0.2"/>
    <row r="974" s="51" customFormat="1" ht="13.5" customHeight="1" x14ac:dyDescent="0.2"/>
    <row r="975" s="51" customFormat="1" ht="13.5" customHeight="1" x14ac:dyDescent="0.2"/>
    <row r="976" s="51" customFormat="1" ht="13.5" customHeight="1" x14ac:dyDescent="0.2"/>
    <row r="977" s="51" customFormat="1" ht="13.5" customHeight="1" x14ac:dyDescent="0.2"/>
    <row r="978" s="51" customFormat="1" ht="13.5" customHeight="1" x14ac:dyDescent="0.2"/>
    <row r="979" s="51" customFormat="1" ht="13.5" customHeight="1" x14ac:dyDescent="0.2"/>
    <row r="980" s="51" customFormat="1" ht="13.5" customHeight="1" x14ac:dyDescent="0.2"/>
    <row r="981" s="51" customFormat="1" ht="13.5" customHeight="1" x14ac:dyDescent="0.2"/>
    <row r="982" s="51" customFormat="1" ht="13.5" customHeight="1" x14ac:dyDescent="0.2"/>
    <row r="983" s="51" customFormat="1" ht="13.5" customHeight="1" x14ac:dyDescent="0.2"/>
    <row r="984" s="51" customFormat="1" ht="13.5" customHeight="1" x14ac:dyDescent="0.2"/>
    <row r="985" s="51" customFormat="1" ht="13.5" customHeight="1" x14ac:dyDescent="0.2"/>
    <row r="986" s="51" customFormat="1" ht="13.5" customHeight="1" x14ac:dyDescent="0.2"/>
    <row r="987" s="51" customFormat="1" ht="13.5" customHeight="1" x14ac:dyDescent="0.2"/>
    <row r="988" s="51" customFormat="1" ht="13.5" customHeight="1" x14ac:dyDescent="0.2"/>
    <row r="989" s="51" customFormat="1" ht="13.5" customHeight="1" x14ac:dyDescent="0.2"/>
    <row r="990" s="51" customFormat="1" ht="13.5" customHeight="1" x14ac:dyDescent="0.2"/>
    <row r="991" s="51" customFormat="1" ht="13.5" customHeight="1" x14ac:dyDescent="0.2"/>
    <row r="992" s="51" customFormat="1" ht="13.5" customHeight="1" x14ac:dyDescent="0.2"/>
    <row r="993" s="51" customFormat="1" ht="13.5" customHeight="1" x14ac:dyDescent="0.2"/>
    <row r="994" s="51" customFormat="1" ht="13.5" customHeight="1" x14ac:dyDescent="0.2"/>
    <row r="995" s="51" customFormat="1" ht="13.5" customHeight="1" x14ac:dyDescent="0.2"/>
    <row r="996" s="51" customFormat="1" ht="13.5" customHeight="1" x14ac:dyDescent="0.2"/>
    <row r="997" s="51" customFormat="1" ht="13.5" customHeight="1" x14ac:dyDescent="0.2"/>
    <row r="998" s="51" customFormat="1" ht="13.5" customHeight="1" x14ac:dyDescent="0.2"/>
    <row r="999" s="51" customFormat="1" ht="13.5" customHeight="1" x14ac:dyDescent="0.2"/>
    <row r="1000" s="51" customFormat="1" ht="13.5" customHeight="1" x14ac:dyDescent="0.2"/>
    <row r="1001" s="51" customFormat="1" ht="13.5" customHeight="1" x14ac:dyDescent="0.2"/>
  </sheetData>
  <mergeCells count="2">
    <mergeCell ref="C3:O4"/>
    <mergeCell ref="E6:I6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O999"/>
  <sheetViews>
    <sheetView showGridLines="0" tabSelected="1" workbookViewId="0"/>
  </sheetViews>
  <sheetFormatPr baseColWidth="10" defaultColWidth="12.6640625" defaultRowHeight="15" customHeight="1" x14ac:dyDescent="0.2"/>
  <cols>
    <col min="1" max="1" width="3.33203125" style="51" customWidth="1"/>
    <col min="2" max="2" width="44" style="51" customWidth="1"/>
    <col min="3" max="5" width="14" style="51" customWidth="1"/>
    <col min="6" max="15" width="12" style="51" customWidth="1"/>
    <col min="16" max="27" width="8.83203125" style="51" customWidth="1"/>
    <col min="28" max="16384" width="12.6640625" style="51"/>
  </cols>
  <sheetData>
    <row r="2" spans="2:15" ht="13.5" customHeight="1" x14ac:dyDescent="0.2">
      <c r="B2" s="57" t="s">
        <v>385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9"/>
    </row>
    <row r="3" spans="2:15" ht="13.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2"/>
    </row>
    <row r="4" spans="2:15" ht="13.5" customHeight="1" x14ac:dyDescent="0.2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2:15" ht="13.5" customHeight="1" x14ac:dyDescent="0.2">
      <c r="B5" s="1" t="s">
        <v>72</v>
      </c>
      <c r="C5" s="39" t="str">
        <f>Assumptions!$C$5</f>
        <v>Base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2:15" ht="13.5" customHeight="1" x14ac:dyDescent="0.2">
      <c r="B6" s="1" t="s">
        <v>386</v>
      </c>
      <c r="C6" s="39" t="str">
        <f>IF(COUNTIF(O16:O22,"FAIL")=0,"PASS","FAIL")</f>
        <v>PASS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</row>
    <row r="7" spans="2:15" ht="13.5" customHeight="1" x14ac:dyDescent="0.2">
      <c r="B7" s="1" t="s">
        <v>387</v>
      </c>
      <c r="C7" s="40">
        <f>SUM(IS!C10:N10)</f>
        <v>10973.254527214476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2:15" ht="13.5" customHeight="1" x14ac:dyDescent="0.2">
      <c r="B8" s="1" t="s">
        <v>388</v>
      </c>
      <c r="C8" s="40">
        <f>SUM(IS!C21:N21)</f>
        <v>-7146.8101608071347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</row>
    <row r="9" spans="2:15" ht="13.5" customHeight="1" x14ac:dyDescent="0.2">
      <c r="B9" s="1" t="s">
        <v>389</v>
      </c>
      <c r="C9" s="40">
        <f>CF!N34</f>
        <v>243.40237194736096</v>
      </c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</row>
    <row r="10" spans="2:15" ht="13.5" customHeight="1" x14ac:dyDescent="0.2">
      <c r="B10" s="1" t="s">
        <v>390</v>
      </c>
      <c r="C10" s="41">
        <f>Revenue!N20</f>
        <v>209.3367062634897</v>
      </c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</row>
    <row r="11" spans="2:15" ht="13.5" customHeight="1" x14ac:dyDescent="0.2">
      <c r="B11" s="1" t="s">
        <v>391</v>
      </c>
      <c r="C11" s="41">
        <f>HC!N49</f>
        <v>89.836826285312966</v>
      </c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</row>
    <row r="12" spans="2:15" ht="13.5" customHeight="1" x14ac:dyDescent="0.2"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</row>
    <row r="13" spans="2:15" ht="13.5" customHeight="1" x14ac:dyDescent="0.2"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</row>
    <row r="14" spans="2:15" ht="13.5" customHeight="1" x14ac:dyDescent="0.2">
      <c r="B14" s="42" t="s">
        <v>392</v>
      </c>
      <c r="C14" s="43">
        <v>46388</v>
      </c>
      <c r="D14" s="43">
        <v>46419</v>
      </c>
      <c r="E14" s="43">
        <v>46447</v>
      </c>
      <c r="F14" s="43">
        <v>46478</v>
      </c>
      <c r="G14" s="43">
        <v>46508</v>
      </c>
      <c r="H14" s="43">
        <v>46539</v>
      </c>
      <c r="I14" s="43">
        <v>46569</v>
      </c>
      <c r="J14" s="43">
        <v>46600</v>
      </c>
      <c r="K14" s="43">
        <v>46631</v>
      </c>
      <c r="L14" s="43">
        <v>46661</v>
      </c>
      <c r="M14" s="43">
        <v>46692</v>
      </c>
      <c r="N14" s="43">
        <v>46722</v>
      </c>
      <c r="O14" s="42" t="s">
        <v>393</v>
      </c>
    </row>
    <row r="15" spans="2:15" ht="13.5" customHeight="1" x14ac:dyDescent="0.2"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</row>
    <row r="16" spans="2:15" ht="13.5" customHeight="1" x14ac:dyDescent="0.2">
      <c r="B16" s="44" t="s">
        <v>394</v>
      </c>
      <c r="C16" s="55">
        <f>BS!C$32</f>
        <v>0</v>
      </c>
      <c r="D16" s="55">
        <f>BS!D$32</f>
        <v>0</v>
      </c>
      <c r="E16" s="55">
        <f>BS!E$32</f>
        <v>0</v>
      </c>
      <c r="F16" s="55">
        <f>BS!F$32</f>
        <v>0</v>
      </c>
      <c r="G16" s="55">
        <f>BS!G$32</f>
        <v>0</v>
      </c>
      <c r="H16" s="55">
        <f>BS!H$32</f>
        <v>0</v>
      </c>
      <c r="I16" s="55">
        <f>BS!I$32</f>
        <v>0</v>
      </c>
      <c r="J16" s="55">
        <f>BS!J$32</f>
        <v>0</v>
      </c>
      <c r="K16" s="55">
        <f>BS!K$32</f>
        <v>0</v>
      </c>
      <c r="L16" s="55">
        <f>BS!L$32</f>
        <v>0</v>
      </c>
      <c r="M16" s="55">
        <f>BS!M$32</f>
        <v>0</v>
      </c>
      <c r="N16" s="55">
        <f>BS!N$32</f>
        <v>0</v>
      </c>
      <c r="O16" s="78" t="str">
        <f t="shared" ref="O16:O22" si="0">IF(MAX(MAX(C16:N16),-MIN(C16:N16))&lt;0.01,"PASS","FAIL")</f>
        <v>PASS</v>
      </c>
    </row>
    <row r="17" spans="2:15" ht="13.5" customHeight="1" x14ac:dyDescent="0.2">
      <c r="B17" s="44" t="s">
        <v>395</v>
      </c>
      <c r="C17" s="55">
        <f>CF!C$34-BS!C$9</f>
        <v>0</v>
      </c>
      <c r="D17" s="55">
        <f>CF!D$34-BS!D$9</f>
        <v>0</v>
      </c>
      <c r="E17" s="55">
        <f>CF!E$34-BS!E$9</f>
        <v>0</v>
      </c>
      <c r="F17" s="55">
        <f>CF!F$34-BS!F$9</f>
        <v>0</v>
      </c>
      <c r="G17" s="55">
        <f>CF!G$34-BS!G$9</f>
        <v>0</v>
      </c>
      <c r="H17" s="55">
        <f>CF!H$34-BS!H$9</f>
        <v>0</v>
      </c>
      <c r="I17" s="55">
        <f>CF!I$34-BS!I$9</f>
        <v>0</v>
      </c>
      <c r="J17" s="55">
        <f>CF!J$34-BS!J$9</f>
        <v>0</v>
      </c>
      <c r="K17" s="55">
        <f>CF!K$34-BS!K$9</f>
        <v>0</v>
      </c>
      <c r="L17" s="55">
        <f>CF!L$34-BS!L$9</f>
        <v>0</v>
      </c>
      <c r="M17" s="55">
        <f>CF!M$34-BS!M$9</f>
        <v>0</v>
      </c>
      <c r="N17" s="55">
        <f>CF!N$34-BS!N$9</f>
        <v>0</v>
      </c>
      <c r="O17" s="78" t="str">
        <f t="shared" si="0"/>
        <v>PASS</v>
      </c>
    </row>
    <row r="18" spans="2:15" ht="13.5" customHeight="1" x14ac:dyDescent="0.2">
      <c r="B18" s="44" t="s">
        <v>396</v>
      </c>
      <c r="C18" s="55">
        <f>'Fin, Tax &amp; Equity'!C$31-IS!C$29</f>
        <v>0</v>
      </c>
      <c r="D18" s="55">
        <f>'Fin, Tax &amp; Equity'!D$31-IS!D$29</f>
        <v>0</v>
      </c>
      <c r="E18" s="55">
        <f>'Fin, Tax &amp; Equity'!E$31-IS!E$29</f>
        <v>0</v>
      </c>
      <c r="F18" s="55">
        <f>'Fin, Tax &amp; Equity'!F$31-IS!F$29</f>
        <v>0</v>
      </c>
      <c r="G18" s="55">
        <f>'Fin, Tax &amp; Equity'!G$31-IS!G$29</f>
        <v>0</v>
      </c>
      <c r="H18" s="55">
        <f>'Fin, Tax &amp; Equity'!H$31-IS!H$29</f>
        <v>0</v>
      </c>
      <c r="I18" s="55">
        <f>'Fin, Tax &amp; Equity'!I$31-IS!I$29</f>
        <v>0</v>
      </c>
      <c r="J18" s="55">
        <f>'Fin, Tax &amp; Equity'!J$31-IS!J$29</f>
        <v>0</v>
      </c>
      <c r="K18" s="55">
        <f>'Fin, Tax &amp; Equity'!K$31-IS!K$29</f>
        <v>0</v>
      </c>
      <c r="L18" s="55">
        <f>'Fin, Tax &amp; Equity'!L$31-IS!L$29</f>
        <v>0</v>
      </c>
      <c r="M18" s="55">
        <f>'Fin, Tax &amp; Equity'!M$31-IS!M$29</f>
        <v>0</v>
      </c>
      <c r="N18" s="55">
        <f>'Fin, Tax &amp; Equity'!N$31-IS!N$29</f>
        <v>0</v>
      </c>
      <c r="O18" s="78" t="str">
        <f t="shared" si="0"/>
        <v>PASS</v>
      </c>
    </row>
    <row r="19" spans="2:15" ht="13.5" customHeight="1" x14ac:dyDescent="0.2">
      <c r="B19" s="44" t="s">
        <v>397</v>
      </c>
      <c r="C19" s="55">
        <f>CF!C$17-WC!C$42</f>
        <v>0</v>
      </c>
      <c r="D19" s="55">
        <f>CF!D$17-WC!D$42</f>
        <v>0</v>
      </c>
      <c r="E19" s="55">
        <f>CF!E$17-WC!E$42</f>
        <v>0</v>
      </c>
      <c r="F19" s="55">
        <f>CF!F$17-WC!F$42</f>
        <v>0</v>
      </c>
      <c r="G19" s="55">
        <f>CF!G$17-WC!G$42</f>
        <v>0</v>
      </c>
      <c r="H19" s="55">
        <f>CF!H$17-WC!H$42</f>
        <v>0</v>
      </c>
      <c r="I19" s="55">
        <f>CF!I$17-WC!I$42</f>
        <v>0</v>
      </c>
      <c r="J19" s="55">
        <f>CF!J$17-WC!J$42</f>
        <v>0</v>
      </c>
      <c r="K19" s="55">
        <f>CF!K$17-WC!K$42</f>
        <v>0</v>
      </c>
      <c r="L19" s="55">
        <f>CF!L$17-WC!L$42</f>
        <v>0</v>
      </c>
      <c r="M19" s="55">
        <f>CF!M$17-WC!M$42</f>
        <v>0</v>
      </c>
      <c r="N19" s="55">
        <f>CF!N$17-WC!N$42</f>
        <v>0</v>
      </c>
      <c r="O19" s="78" t="str">
        <f t="shared" si="0"/>
        <v>PASS</v>
      </c>
    </row>
    <row r="20" spans="2:15" ht="13.5" customHeight="1" x14ac:dyDescent="0.2">
      <c r="B20" s="44" t="s">
        <v>398</v>
      </c>
      <c r="C20" s="55">
        <f>'FA &amp; D&amp;A'!C$24</f>
        <v>0</v>
      </c>
      <c r="D20" s="55">
        <f>'FA &amp; D&amp;A'!D$24</f>
        <v>0</v>
      </c>
      <c r="E20" s="55">
        <f>'FA &amp; D&amp;A'!E$24</f>
        <v>0</v>
      </c>
      <c r="F20" s="55">
        <f>'FA &amp; D&amp;A'!F$24</f>
        <v>0</v>
      </c>
      <c r="G20" s="55">
        <f>'FA &amp; D&amp;A'!G$24</f>
        <v>0</v>
      </c>
      <c r="H20" s="55">
        <f>'FA &amp; D&amp;A'!H$24</f>
        <v>0</v>
      </c>
      <c r="I20" s="55">
        <f>'FA &amp; D&amp;A'!I$24</f>
        <v>0</v>
      </c>
      <c r="J20" s="55">
        <f>'FA &amp; D&amp;A'!J$24</f>
        <v>0</v>
      </c>
      <c r="K20" s="55">
        <f>'FA &amp; D&amp;A'!K$24</f>
        <v>0</v>
      </c>
      <c r="L20" s="55">
        <f>'FA &amp; D&amp;A'!L$24</f>
        <v>0</v>
      </c>
      <c r="M20" s="55">
        <f>'FA &amp; D&amp;A'!M$24</f>
        <v>0</v>
      </c>
      <c r="N20" s="55">
        <f>'FA &amp; D&amp;A'!N$24</f>
        <v>0</v>
      </c>
      <c r="O20" s="78" t="str">
        <f t="shared" si="0"/>
        <v>PASS</v>
      </c>
    </row>
    <row r="21" spans="2:15" ht="13.5" customHeight="1" x14ac:dyDescent="0.2">
      <c r="B21" s="44" t="s">
        <v>399</v>
      </c>
      <c r="C21" s="55">
        <f>Revenue!C$59-(Revenue!C$56+Revenue!C$57-Revenue!C$58)</f>
        <v>0</v>
      </c>
      <c r="D21" s="55">
        <f>Revenue!D$59-(Revenue!D$56+Revenue!D$57-Revenue!D$58)</f>
        <v>0</v>
      </c>
      <c r="E21" s="55">
        <f>Revenue!E$59-(Revenue!E$56+Revenue!E$57-Revenue!E$58)</f>
        <v>0</v>
      </c>
      <c r="F21" s="55">
        <f>Revenue!F$59-(Revenue!F$56+Revenue!F$57-Revenue!F$58)</f>
        <v>0</v>
      </c>
      <c r="G21" s="55">
        <f>Revenue!G$59-(Revenue!G$56+Revenue!G$57-Revenue!G$58)</f>
        <v>0</v>
      </c>
      <c r="H21" s="55">
        <f>Revenue!H$59-(Revenue!H$56+Revenue!H$57-Revenue!H$58)</f>
        <v>0</v>
      </c>
      <c r="I21" s="55">
        <f>Revenue!I$59-(Revenue!I$56+Revenue!I$57-Revenue!I$58)</f>
        <v>0</v>
      </c>
      <c r="J21" s="55">
        <f>Revenue!J$59-(Revenue!J$56+Revenue!J$57-Revenue!J$58)</f>
        <v>0</v>
      </c>
      <c r="K21" s="55">
        <f>Revenue!K$59-(Revenue!K$56+Revenue!K$57-Revenue!K$58)</f>
        <v>0</v>
      </c>
      <c r="L21" s="55">
        <f>Revenue!L$59-(Revenue!L$56+Revenue!L$57-Revenue!L$58)</f>
        <v>0</v>
      </c>
      <c r="M21" s="55">
        <f>Revenue!M$59-(Revenue!M$56+Revenue!M$57-Revenue!M$58)</f>
        <v>0</v>
      </c>
      <c r="N21" s="55">
        <f>Revenue!N$59-(Revenue!N$56+Revenue!N$57-Revenue!N$58)</f>
        <v>0</v>
      </c>
      <c r="O21" s="78" t="str">
        <f t="shared" si="0"/>
        <v>PASS</v>
      </c>
    </row>
    <row r="22" spans="2:15" ht="13.5" customHeight="1" x14ac:dyDescent="0.2">
      <c r="B22" s="44" t="s">
        <v>400</v>
      </c>
      <c r="C22" s="55">
        <f t="shared" ref="C22:N22" si="1">0</f>
        <v>0</v>
      </c>
      <c r="D22" s="55">
        <f t="shared" si="1"/>
        <v>0</v>
      </c>
      <c r="E22" s="55">
        <f t="shared" si="1"/>
        <v>0</v>
      </c>
      <c r="F22" s="55">
        <f t="shared" si="1"/>
        <v>0</v>
      </c>
      <c r="G22" s="55">
        <f t="shared" si="1"/>
        <v>0</v>
      </c>
      <c r="H22" s="55">
        <f t="shared" si="1"/>
        <v>0</v>
      </c>
      <c r="I22" s="55">
        <f t="shared" si="1"/>
        <v>0</v>
      </c>
      <c r="J22" s="55">
        <f t="shared" si="1"/>
        <v>0</v>
      </c>
      <c r="K22" s="55">
        <f t="shared" si="1"/>
        <v>0</v>
      </c>
      <c r="L22" s="55">
        <f t="shared" si="1"/>
        <v>0</v>
      </c>
      <c r="M22" s="55">
        <f t="shared" si="1"/>
        <v>0</v>
      </c>
      <c r="N22" s="55">
        <f t="shared" si="1"/>
        <v>0</v>
      </c>
      <c r="O22" s="78" t="str">
        <f t="shared" si="0"/>
        <v>PASS</v>
      </c>
    </row>
    <row r="23" spans="2:15" ht="13.5" customHeight="1" x14ac:dyDescent="0.2"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</row>
    <row r="24" spans="2:15" ht="13.5" customHeight="1" x14ac:dyDescent="0.2"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</row>
    <row r="25" spans="2:15" ht="13.5" customHeight="1" x14ac:dyDescent="0.2">
      <c r="B25" s="42" t="s">
        <v>401</v>
      </c>
      <c r="C25" s="42" t="s">
        <v>32</v>
      </c>
      <c r="D25" s="42" t="s">
        <v>47</v>
      </c>
      <c r="E25" s="42" t="s">
        <v>380</v>
      </c>
      <c r="F25" s="52"/>
      <c r="G25" s="52"/>
      <c r="H25" s="52"/>
      <c r="I25" s="52"/>
      <c r="J25" s="52"/>
      <c r="K25" s="52"/>
      <c r="L25" s="52"/>
      <c r="M25" s="52"/>
      <c r="N25" s="52"/>
      <c r="O25" s="52"/>
    </row>
    <row r="26" spans="2:15" ht="13.5" customHeight="1" x14ac:dyDescent="0.2">
      <c r="B26" s="39" t="s">
        <v>402</v>
      </c>
      <c r="C26" s="56">
        <f>IS!C$10</f>
        <v>627.56481999999994</v>
      </c>
      <c r="D26" s="56">
        <f>IS!C$21</f>
        <v>-635.56739760000005</v>
      </c>
      <c r="E26" s="56">
        <f>CF!C$34</f>
        <v>4427.7870627508773</v>
      </c>
      <c r="F26" s="52"/>
      <c r="G26" s="52"/>
      <c r="H26" s="52"/>
      <c r="I26" s="52"/>
      <c r="J26" s="52"/>
      <c r="K26" s="52"/>
      <c r="L26" s="52"/>
      <c r="M26" s="52"/>
      <c r="N26" s="52"/>
      <c r="O26" s="52"/>
    </row>
    <row r="27" spans="2:15" ht="13.5" customHeight="1" x14ac:dyDescent="0.2">
      <c r="B27" s="39" t="s">
        <v>403</v>
      </c>
      <c r="C27" s="56">
        <f>IS!D$10</f>
        <v>666.87985090672043</v>
      </c>
      <c r="D27" s="56">
        <f>IS!D$21</f>
        <v>-639.20419895648934</v>
      </c>
      <c r="E27" s="56">
        <f>CF!D$34</f>
        <v>4040.044318442212</v>
      </c>
      <c r="F27" s="52"/>
      <c r="G27" s="52"/>
      <c r="H27" s="52"/>
      <c r="I27" s="52"/>
      <c r="J27" s="52"/>
      <c r="K27" s="52"/>
      <c r="L27" s="52"/>
      <c r="M27" s="52"/>
      <c r="N27" s="52"/>
      <c r="O27" s="52"/>
    </row>
    <row r="28" spans="2:15" ht="13.5" customHeight="1" x14ac:dyDescent="0.2">
      <c r="B28" s="39" t="s">
        <v>404</v>
      </c>
      <c r="C28" s="56">
        <f>IS!E$10</f>
        <v>709.08266623480984</v>
      </c>
      <c r="D28" s="56">
        <f>IS!E$21</f>
        <v>-640.48007442725589</v>
      </c>
      <c r="E28" s="56">
        <f>CF!E$34</f>
        <v>3646.2752665000457</v>
      </c>
      <c r="F28" s="52"/>
      <c r="G28" s="52"/>
      <c r="H28" s="52"/>
      <c r="I28" s="52"/>
      <c r="J28" s="52"/>
      <c r="K28" s="52"/>
      <c r="L28" s="52"/>
      <c r="M28" s="52"/>
      <c r="N28" s="52"/>
      <c r="O28" s="52"/>
    </row>
    <row r="29" spans="2:15" ht="13.5" customHeight="1" x14ac:dyDescent="0.2">
      <c r="B29" s="39" t="s">
        <v>405</v>
      </c>
      <c r="C29" s="56">
        <f>IS!F$10</f>
        <v>755.28398560770722</v>
      </c>
      <c r="D29" s="56">
        <f>IS!F$21</f>
        <v>-638.48285772844133</v>
      </c>
      <c r="E29" s="56">
        <f>CF!F$34</f>
        <v>3258.3848750978659</v>
      </c>
      <c r="F29" s="52"/>
      <c r="G29" s="52"/>
      <c r="H29" s="52"/>
      <c r="I29" s="52"/>
      <c r="J29" s="52"/>
      <c r="K29" s="52"/>
      <c r="L29" s="52"/>
      <c r="M29" s="52"/>
      <c r="N29" s="52"/>
      <c r="O29" s="52"/>
    </row>
    <row r="30" spans="2:15" ht="13.5" customHeight="1" x14ac:dyDescent="0.2">
      <c r="B30" s="39" t="s">
        <v>406</v>
      </c>
      <c r="C30" s="56">
        <f>IS!G$10</f>
        <v>805.76801314032321</v>
      </c>
      <c r="D30" s="56">
        <f>IS!G$21</f>
        <v>-632.75849314753577</v>
      </c>
      <c r="E30" s="56">
        <f>CF!G$34</f>
        <v>2874.9009907342006</v>
      </c>
      <c r="F30" s="52"/>
      <c r="G30" s="52"/>
      <c r="H30" s="52"/>
      <c r="I30" s="52"/>
      <c r="J30" s="52"/>
      <c r="K30" s="52"/>
      <c r="L30" s="52"/>
      <c r="M30" s="52"/>
      <c r="N30" s="52"/>
      <c r="O30" s="52"/>
    </row>
    <row r="31" spans="2:15" ht="13.5" customHeight="1" x14ac:dyDescent="0.2">
      <c r="B31" s="39" t="s">
        <v>407</v>
      </c>
      <c r="C31" s="56">
        <f>IS!H$10</f>
        <v>860.51076118425317</v>
      </c>
      <c r="D31" s="56">
        <f>IS!H$21</f>
        <v>-623.32794251937719</v>
      </c>
      <c r="E31" s="56">
        <f>CF!H$34</f>
        <v>2494.9772915572917</v>
      </c>
      <c r="F31" s="52"/>
      <c r="G31" s="52"/>
      <c r="H31" s="52"/>
      <c r="I31" s="52"/>
      <c r="J31" s="52"/>
      <c r="K31" s="52"/>
      <c r="L31" s="52"/>
      <c r="M31" s="52"/>
      <c r="N31" s="52"/>
      <c r="O31" s="52"/>
    </row>
    <row r="32" spans="2:15" ht="13.5" customHeight="1" x14ac:dyDescent="0.2">
      <c r="B32" s="39" t="s">
        <v>408</v>
      </c>
      <c r="C32" s="56">
        <f>IS!I$10</f>
        <v>919.48838665719552</v>
      </c>
      <c r="D32" s="56">
        <f>IS!I$21</f>
        <v>-610.21204138282201</v>
      </c>
      <c r="E32" s="56">
        <f>CF!I$34</f>
        <v>2117.7722256870011</v>
      </c>
      <c r="F32" s="52"/>
      <c r="G32" s="52"/>
      <c r="H32" s="52"/>
      <c r="I32" s="52"/>
      <c r="J32" s="52"/>
      <c r="K32" s="52"/>
      <c r="L32" s="52"/>
      <c r="M32" s="52"/>
      <c r="N32" s="52"/>
      <c r="O32" s="52"/>
    </row>
    <row r="33" spans="2:15" ht="13.5" customHeight="1" x14ac:dyDescent="0.2">
      <c r="B33" s="39" t="s">
        <v>409</v>
      </c>
      <c r="C33" s="56">
        <f>IS!J$10</f>
        <v>982.67719017579509</v>
      </c>
      <c r="D33" s="56">
        <f>IS!J$21</f>
        <v>-593.43149973831976</v>
      </c>
      <c r="E33" s="56">
        <f>CF!J$34</f>
        <v>1742.4489824795949</v>
      </c>
      <c r="F33" s="52"/>
      <c r="G33" s="52"/>
      <c r="H33" s="52"/>
      <c r="I33" s="52"/>
      <c r="J33" s="52"/>
      <c r="K33" s="52"/>
      <c r="L33" s="52"/>
      <c r="M33" s="52"/>
      <c r="N33" s="52"/>
      <c r="O33" s="52"/>
    </row>
    <row r="34" spans="2:15" ht="13.5" customHeight="1" x14ac:dyDescent="0.2">
      <c r="B34" s="39" t="s">
        <v>410</v>
      </c>
      <c r="C34" s="56">
        <f>IS!K$10</f>
        <v>1050.0536151936892</v>
      </c>
      <c r="D34" s="56">
        <f>IS!K$21</f>
        <v>-573.00690280095171</v>
      </c>
      <c r="E34" s="56">
        <f>CF!K$34</f>
        <v>1368.1754639648798</v>
      </c>
      <c r="F34" s="52"/>
      <c r="G34" s="52"/>
      <c r="H34" s="52"/>
      <c r="I34" s="52"/>
      <c r="J34" s="52"/>
      <c r="K34" s="52"/>
      <c r="L34" s="52"/>
      <c r="M34" s="52"/>
      <c r="N34" s="52"/>
      <c r="O34" s="52"/>
    </row>
    <row r="35" spans="2:15" ht="13.5" customHeight="1" x14ac:dyDescent="0.2">
      <c r="B35" s="39" t="s">
        <v>411</v>
      </c>
      <c r="C35" s="56">
        <f>IS!L$10</f>
        <v>1121.5942471447256</v>
      </c>
      <c r="D35" s="56">
        <f>IS!L$21</f>
        <v>-548.95871174894319</v>
      </c>
      <c r="E35" s="56">
        <f>CF!L$34</f>
        <v>994.12425645469227</v>
      </c>
      <c r="F35" s="52"/>
      <c r="G35" s="52"/>
      <c r="H35" s="52"/>
      <c r="I35" s="52"/>
      <c r="J35" s="52"/>
      <c r="K35" s="52"/>
      <c r="L35" s="52"/>
      <c r="M35" s="52"/>
      <c r="N35" s="52"/>
      <c r="O35" s="52"/>
    </row>
    <row r="36" spans="2:15" ht="13.5" customHeight="1" x14ac:dyDescent="0.2">
      <c r="B36" s="39" t="s">
        <v>412</v>
      </c>
      <c r="C36" s="56">
        <f>IS!M$10</f>
        <v>1197.2758125913224</v>
      </c>
      <c r="D36" s="56">
        <f>IS!M$21</f>
        <v>-521.30726446768836</v>
      </c>
      <c r="E36" s="56">
        <f>CF!M$34</f>
        <v>619.47260232167775</v>
      </c>
      <c r="F36" s="52"/>
      <c r="G36" s="52"/>
      <c r="H36" s="52"/>
      <c r="I36" s="52"/>
      <c r="J36" s="52"/>
      <c r="K36" s="52"/>
      <c r="L36" s="52"/>
      <c r="M36" s="52"/>
      <c r="N36" s="52"/>
      <c r="O36" s="52"/>
    </row>
    <row r="37" spans="2:15" ht="13.5" customHeight="1" x14ac:dyDescent="0.2">
      <c r="B37" s="39" t="s">
        <v>413</v>
      </c>
      <c r="C37" s="56">
        <f>IS!N$10</f>
        <v>1277.0751783779358</v>
      </c>
      <c r="D37" s="56">
        <f>IS!N$21</f>
        <v>-490.07277628931001</v>
      </c>
      <c r="E37" s="56">
        <f>CF!N$34</f>
        <v>243.40237194736096</v>
      </c>
      <c r="F37" s="52"/>
      <c r="G37" s="52"/>
      <c r="H37" s="52"/>
      <c r="I37" s="52"/>
      <c r="J37" s="52"/>
      <c r="K37" s="52"/>
      <c r="L37" s="52"/>
      <c r="M37" s="52"/>
      <c r="N37" s="52"/>
      <c r="O37" s="52"/>
    </row>
    <row r="38" spans="2:15" ht="13.5" customHeight="1" x14ac:dyDescent="0.2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</row>
    <row r="39" spans="2:15" ht="13.5" customHeight="1" x14ac:dyDescent="0.2">
      <c r="B39" s="42" t="s">
        <v>401</v>
      </c>
      <c r="C39" s="42" t="s">
        <v>380</v>
      </c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</row>
    <row r="40" spans="2:15" ht="13.5" customHeight="1" x14ac:dyDescent="0.2">
      <c r="B40" s="39" t="s">
        <v>402</v>
      </c>
      <c r="C40" s="56">
        <f t="shared" ref="C40:C51" si="2">E26</f>
        <v>4427.7870627508773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</row>
    <row r="41" spans="2:15" ht="13.5" customHeight="1" x14ac:dyDescent="0.2">
      <c r="B41" s="39" t="s">
        <v>403</v>
      </c>
      <c r="C41" s="56">
        <f t="shared" si="2"/>
        <v>4040.044318442212</v>
      </c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</row>
    <row r="42" spans="2:15" ht="13.5" customHeight="1" x14ac:dyDescent="0.2">
      <c r="B42" s="39" t="s">
        <v>404</v>
      </c>
      <c r="C42" s="56">
        <f t="shared" si="2"/>
        <v>3646.2752665000457</v>
      </c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</row>
    <row r="43" spans="2:15" ht="13.5" customHeight="1" x14ac:dyDescent="0.2">
      <c r="B43" s="39" t="s">
        <v>405</v>
      </c>
      <c r="C43" s="56">
        <f t="shared" si="2"/>
        <v>3258.3848750978659</v>
      </c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</row>
    <row r="44" spans="2:15" ht="13.5" customHeight="1" x14ac:dyDescent="0.2">
      <c r="B44" s="39" t="s">
        <v>406</v>
      </c>
      <c r="C44" s="56">
        <f t="shared" si="2"/>
        <v>2874.9009907342006</v>
      </c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</row>
    <row r="45" spans="2:15" ht="13.5" customHeight="1" x14ac:dyDescent="0.2">
      <c r="B45" s="39" t="s">
        <v>407</v>
      </c>
      <c r="C45" s="56">
        <f t="shared" si="2"/>
        <v>2494.9772915572917</v>
      </c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  <row r="46" spans="2:15" ht="13.5" customHeight="1" x14ac:dyDescent="0.2">
      <c r="B46" s="39" t="s">
        <v>408</v>
      </c>
      <c r="C46" s="56">
        <f t="shared" si="2"/>
        <v>2117.7722256870011</v>
      </c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</row>
    <row r="47" spans="2:15" ht="13.5" customHeight="1" x14ac:dyDescent="0.2">
      <c r="B47" s="39" t="s">
        <v>409</v>
      </c>
      <c r="C47" s="56">
        <f t="shared" si="2"/>
        <v>1742.4489824795949</v>
      </c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</row>
    <row r="48" spans="2:15" ht="13.5" customHeight="1" x14ac:dyDescent="0.2">
      <c r="B48" s="39" t="s">
        <v>410</v>
      </c>
      <c r="C48" s="56">
        <f t="shared" si="2"/>
        <v>1368.1754639648798</v>
      </c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</row>
    <row r="49" spans="2:15" ht="13.5" customHeight="1" x14ac:dyDescent="0.2">
      <c r="B49" s="39" t="s">
        <v>411</v>
      </c>
      <c r="C49" s="56">
        <f t="shared" si="2"/>
        <v>994.12425645469227</v>
      </c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</row>
    <row r="50" spans="2:15" ht="13.5" customHeight="1" x14ac:dyDescent="0.2">
      <c r="B50" s="39" t="s">
        <v>412</v>
      </c>
      <c r="C50" s="56">
        <f t="shared" si="2"/>
        <v>619.47260232167775</v>
      </c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</row>
    <row r="51" spans="2:15" ht="13.5" customHeight="1" x14ac:dyDescent="0.2">
      <c r="B51" s="39" t="s">
        <v>413</v>
      </c>
      <c r="C51" s="56">
        <f t="shared" si="2"/>
        <v>243.40237194736096</v>
      </c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</row>
    <row r="52" spans="2:15" ht="13.5" customHeight="1" x14ac:dyDescent="0.2"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</row>
    <row r="53" spans="2:15" ht="13.5" customHeight="1" x14ac:dyDescent="0.2"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</row>
    <row r="54" spans="2:15" ht="13.5" customHeight="1" x14ac:dyDescent="0.2"/>
    <row r="55" spans="2:15" ht="13.5" customHeight="1" x14ac:dyDescent="0.2"/>
    <row r="56" spans="2:15" ht="13.5" customHeight="1" x14ac:dyDescent="0.2"/>
    <row r="57" spans="2:15" ht="13.5" customHeight="1" x14ac:dyDescent="0.2"/>
    <row r="58" spans="2:15" ht="13.5" customHeight="1" x14ac:dyDescent="0.2"/>
    <row r="59" spans="2:15" ht="13.5" customHeight="1" x14ac:dyDescent="0.2"/>
    <row r="60" spans="2:15" ht="13.5" customHeight="1" x14ac:dyDescent="0.2"/>
    <row r="61" spans="2:15" ht="13.5" customHeight="1" x14ac:dyDescent="0.2"/>
    <row r="62" spans="2:15" ht="13.5" customHeight="1" x14ac:dyDescent="0.2"/>
    <row r="63" spans="2:15" ht="13.5" customHeight="1" x14ac:dyDescent="0.2"/>
    <row r="64" spans="2:15" ht="13.5" customHeight="1" x14ac:dyDescent="0.2"/>
    <row r="65" s="51" customFormat="1" ht="13.5" customHeight="1" x14ac:dyDescent="0.2"/>
    <row r="66" s="51" customFormat="1" ht="13.5" customHeight="1" x14ac:dyDescent="0.2"/>
    <row r="67" s="51" customFormat="1" ht="13.5" customHeight="1" x14ac:dyDescent="0.2"/>
    <row r="68" s="51" customFormat="1" ht="13.5" customHeight="1" x14ac:dyDescent="0.2"/>
    <row r="69" s="51" customFormat="1" ht="13.5" customHeight="1" x14ac:dyDescent="0.2"/>
    <row r="70" s="51" customFormat="1" ht="13.5" customHeight="1" x14ac:dyDescent="0.2"/>
    <row r="71" s="51" customFormat="1" ht="13.5" customHeight="1" x14ac:dyDescent="0.2"/>
    <row r="72" s="51" customFormat="1" ht="13.5" customHeight="1" x14ac:dyDescent="0.2"/>
    <row r="73" s="51" customFormat="1" ht="13.5" customHeight="1" x14ac:dyDescent="0.2"/>
    <row r="74" s="51" customFormat="1" ht="13.5" customHeight="1" x14ac:dyDescent="0.2"/>
    <row r="75" s="51" customFormat="1" ht="13.5" customHeight="1" x14ac:dyDescent="0.2"/>
    <row r="76" s="51" customFormat="1" ht="13.5" customHeight="1" x14ac:dyDescent="0.2"/>
    <row r="77" s="51" customFormat="1" ht="13.5" customHeight="1" x14ac:dyDescent="0.2"/>
    <row r="78" s="51" customFormat="1" ht="13.5" customHeight="1" x14ac:dyDescent="0.2"/>
    <row r="79" s="51" customFormat="1" ht="13.5" customHeight="1" x14ac:dyDescent="0.2"/>
    <row r="80" s="51" customFormat="1" ht="13.5" customHeight="1" x14ac:dyDescent="0.2"/>
    <row r="81" s="51" customFormat="1" ht="13.5" customHeight="1" x14ac:dyDescent="0.2"/>
    <row r="82" s="51" customFormat="1" ht="13.5" customHeight="1" x14ac:dyDescent="0.2"/>
    <row r="83" s="51" customFormat="1" ht="13.5" customHeight="1" x14ac:dyDescent="0.2"/>
    <row r="84" s="51" customFormat="1" ht="13.5" customHeight="1" x14ac:dyDescent="0.2"/>
    <row r="85" s="51" customFormat="1" ht="13.5" customHeight="1" x14ac:dyDescent="0.2"/>
    <row r="86" s="51" customFormat="1" ht="13.5" customHeight="1" x14ac:dyDescent="0.2"/>
    <row r="87" s="51" customFormat="1" ht="13.5" customHeight="1" x14ac:dyDescent="0.2"/>
    <row r="88" s="51" customFormat="1" ht="13.5" customHeight="1" x14ac:dyDescent="0.2"/>
    <row r="89" s="51" customFormat="1" ht="13.5" customHeight="1" x14ac:dyDescent="0.2"/>
    <row r="90" s="51" customFormat="1" ht="13.5" customHeight="1" x14ac:dyDescent="0.2"/>
    <row r="91" s="51" customFormat="1" ht="13.5" customHeight="1" x14ac:dyDescent="0.2"/>
    <row r="92" s="51" customFormat="1" ht="13.5" customHeight="1" x14ac:dyDescent="0.2"/>
    <row r="93" s="51" customFormat="1" ht="13.5" customHeight="1" x14ac:dyDescent="0.2"/>
    <row r="94" s="51" customFormat="1" ht="13.5" customHeight="1" x14ac:dyDescent="0.2"/>
    <row r="95" s="51" customFormat="1" ht="13.5" customHeight="1" x14ac:dyDescent="0.2"/>
    <row r="96" s="51" customFormat="1" ht="13.5" customHeight="1" x14ac:dyDescent="0.2"/>
    <row r="97" s="51" customFormat="1" ht="13.5" customHeight="1" x14ac:dyDescent="0.2"/>
    <row r="98" s="51" customFormat="1" ht="13.5" customHeight="1" x14ac:dyDescent="0.2"/>
    <row r="99" s="51" customFormat="1" ht="13.5" customHeight="1" x14ac:dyDescent="0.2"/>
    <row r="100" s="51" customFormat="1" ht="13.5" customHeight="1" x14ac:dyDescent="0.2"/>
    <row r="101" s="51" customFormat="1" ht="13.5" customHeight="1" x14ac:dyDescent="0.2"/>
    <row r="102" s="51" customFormat="1" ht="13.5" customHeight="1" x14ac:dyDescent="0.2"/>
    <row r="103" s="51" customFormat="1" ht="13.5" customHeight="1" x14ac:dyDescent="0.2"/>
    <row r="104" s="51" customFormat="1" ht="13.5" customHeight="1" x14ac:dyDescent="0.2"/>
    <row r="105" s="51" customFormat="1" ht="13.5" customHeight="1" x14ac:dyDescent="0.2"/>
    <row r="106" s="51" customFormat="1" ht="13.5" customHeight="1" x14ac:dyDescent="0.2"/>
    <row r="107" s="51" customFormat="1" ht="13.5" customHeight="1" x14ac:dyDescent="0.2"/>
    <row r="108" s="51" customFormat="1" ht="13.5" customHeight="1" x14ac:dyDescent="0.2"/>
    <row r="109" s="51" customFormat="1" ht="13.5" customHeight="1" x14ac:dyDescent="0.2"/>
    <row r="110" s="51" customFormat="1" ht="13.5" customHeight="1" x14ac:dyDescent="0.2"/>
    <row r="111" s="51" customFormat="1" ht="13.5" customHeight="1" x14ac:dyDescent="0.2"/>
    <row r="112" s="51" customFormat="1" ht="13.5" customHeight="1" x14ac:dyDescent="0.2"/>
    <row r="113" s="51" customFormat="1" ht="13.5" customHeight="1" x14ac:dyDescent="0.2"/>
    <row r="114" s="51" customFormat="1" ht="13.5" customHeight="1" x14ac:dyDescent="0.2"/>
    <row r="115" s="51" customFormat="1" ht="13.5" customHeight="1" x14ac:dyDescent="0.2"/>
    <row r="116" s="51" customFormat="1" ht="13.5" customHeight="1" x14ac:dyDescent="0.2"/>
    <row r="117" s="51" customFormat="1" ht="13.5" customHeight="1" x14ac:dyDescent="0.2"/>
    <row r="118" s="51" customFormat="1" ht="13.5" customHeight="1" x14ac:dyDescent="0.2"/>
    <row r="119" s="51" customFormat="1" ht="13.5" customHeight="1" x14ac:dyDescent="0.2"/>
    <row r="120" s="51" customFormat="1" ht="13.5" customHeight="1" x14ac:dyDescent="0.2"/>
    <row r="121" s="51" customFormat="1" ht="13.5" customHeight="1" x14ac:dyDescent="0.2"/>
    <row r="122" s="51" customFormat="1" ht="13.5" customHeight="1" x14ac:dyDescent="0.2"/>
    <row r="123" s="51" customFormat="1" ht="13.5" customHeight="1" x14ac:dyDescent="0.2"/>
    <row r="124" s="51" customFormat="1" ht="13.5" customHeight="1" x14ac:dyDescent="0.2"/>
    <row r="125" s="51" customFormat="1" ht="13.5" customHeight="1" x14ac:dyDescent="0.2"/>
    <row r="126" s="51" customFormat="1" ht="13.5" customHeight="1" x14ac:dyDescent="0.2"/>
    <row r="127" s="51" customFormat="1" ht="13.5" customHeight="1" x14ac:dyDescent="0.2"/>
    <row r="128" s="51" customFormat="1" ht="13.5" customHeight="1" x14ac:dyDescent="0.2"/>
    <row r="129" s="51" customFormat="1" ht="13.5" customHeight="1" x14ac:dyDescent="0.2"/>
    <row r="130" s="51" customFormat="1" ht="13.5" customHeight="1" x14ac:dyDescent="0.2"/>
    <row r="131" s="51" customFormat="1" ht="13.5" customHeight="1" x14ac:dyDescent="0.2"/>
    <row r="132" s="51" customFormat="1" ht="13.5" customHeight="1" x14ac:dyDescent="0.2"/>
    <row r="133" s="51" customFormat="1" ht="13.5" customHeight="1" x14ac:dyDescent="0.2"/>
    <row r="134" s="51" customFormat="1" ht="13.5" customHeight="1" x14ac:dyDescent="0.2"/>
    <row r="135" s="51" customFormat="1" ht="13.5" customHeight="1" x14ac:dyDescent="0.2"/>
    <row r="136" s="51" customFormat="1" ht="13.5" customHeight="1" x14ac:dyDescent="0.2"/>
    <row r="137" s="51" customFormat="1" ht="13.5" customHeight="1" x14ac:dyDescent="0.2"/>
    <row r="138" s="51" customFormat="1" ht="13.5" customHeight="1" x14ac:dyDescent="0.2"/>
    <row r="139" s="51" customFormat="1" ht="13.5" customHeight="1" x14ac:dyDescent="0.2"/>
    <row r="140" s="51" customFormat="1" ht="13.5" customHeight="1" x14ac:dyDescent="0.2"/>
    <row r="141" s="51" customFormat="1" ht="13.5" customHeight="1" x14ac:dyDescent="0.2"/>
    <row r="142" s="51" customFormat="1" ht="13.5" customHeight="1" x14ac:dyDescent="0.2"/>
    <row r="143" s="51" customFormat="1" ht="13.5" customHeight="1" x14ac:dyDescent="0.2"/>
    <row r="144" s="51" customFormat="1" ht="13.5" customHeight="1" x14ac:dyDescent="0.2"/>
    <row r="145" s="51" customFormat="1" ht="13.5" customHeight="1" x14ac:dyDescent="0.2"/>
    <row r="146" s="51" customFormat="1" ht="13.5" customHeight="1" x14ac:dyDescent="0.2"/>
    <row r="147" s="51" customFormat="1" ht="13.5" customHeight="1" x14ac:dyDescent="0.2"/>
    <row r="148" s="51" customFormat="1" ht="13.5" customHeight="1" x14ac:dyDescent="0.2"/>
    <row r="149" s="51" customFormat="1" ht="13.5" customHeight="1" x14ac:dyDescent="0.2"/>
    <row r="150" s="51" customFormat="1" ht="13.5" customHeight="1" x14ac:dyDescent="0.2"/>
    <row r="151" s="51" customFormat="1" ht="13.5" customHeight="1" x14ac:dyDescent="0.2"/>
    <row r="152" s="51" customFormat="1" ht="13.5" customHeight="1" x14ac:dyDescent="0.2"/>
    <row r="153" s="51" customFormat="1" ht="13.5" customHeight="1" x14ac:dyDescent="0.2"/>
    <row r="154" s="51" customFormat="1" ht="13.5" customHeight="1" x14ac:dyDescent="0.2"/>
    <row r="155" s="51" customFormat="1" ht="13.5" customHeight="1" x14ac:dyDescent="0.2"/>
    <row r="156" s="51" customFormat="1" ht="13.5" customHeight="1" x14ac:dyDescent="0.2"/>
    <row r="157" s="51" customFormat="1" ht="13.5" customHeight="1" x14ac:dyDescent="0.2"/>
    <row r="158" s="51" customFormat="1" ht="13.5" customHeight="1" x14ac:dyDescent="0.2"/>
    <row r="159" s="51" customFormat="1" ht="13.5" customHeight="1" x14ac:dyDescent="0.2"/>
    <row r="160" s="51" customFormat="1" ht="13.5" customHeight="1" x14ac:dyDescent="0.2"/>
    <row r="161" s="51" customFormat="1" ht="13.5" customHeight="1" x14ac:dyDescent="0.2"/>
    <row r="162" s="51" customFormat="1" ht="13.5" customHeight="1" x14ac:dyDescent="0.2"/>
    <row r="163" s="51" customFormat="1" ht="13.5" customHeight="1" x14ac:dyDescent="0.2"/>
    <row r="164" s="51" customFormat="1" ht="13.5" customHeight="1" x14ac:dyDescent="0.2"/>
    <row r="165" s="51" customFormat="1" ht="13.5" customHeight="1" x14ac:dyDescent="0.2"/>
    <row r="166" s="51" customFormat="1" ht="13.5" customHeight="1" x14ac:dyDescent="0.2"/>
    <row r="167" s="51" customFormat="1" ht="13.5" customHeight="1" x14ac:dyDescent="0.2"/>
    <row r="168" s="51" customFormat="1" ht="13.5" customHeight="1" x14ac:dyDescent="0.2"/>
    <row r="169" s="51" customFormat="1" ht="13.5" customHeight="1" x14ac:dyDescent="0.2"/>
    <row r="170" s="51" customFormat="1" ht="13.5" customHeight="1" x14ac:dyDescent="0.2"/>
    <row r="171" s="51" customFormat="1" ht="13.5" customHeight="1" x14ac:dyDescent="0.2"/>
    <row r="172" s="51" customFormat="1" ht="13.5" customHeight="1" x14ac:dyDescent="0.2"/>
    <row r="173" s="51" customFormat="1" ht="13.5" customHeight="1" x14ac:dyDescent="0.2"/>
    <row r="174" s="51" customFormat="1" ht="13.5" customHeight="1" x14ac:dyDescent="0.2"/>
    <row r="175" s="51" customFormat="1" ht="13.5" customHeight="1" x14ac:dyDescent="0.2"/>
    <row r="176" s="51" customFormat="1" ht="13.5" customHeight="1" x14ac:dyDescent="0.2"/>
    <row r="177" s="51" customFormat="1" ht="13.5" customHeight="1" x14ac:dyDescent="0.2"/>
    <row r="178" s="51" customFormat="1" ht="13.5" customHeight="1" x14ac:dyDescent="0.2"/>
    <row r="179" s="51" customFormat="1" ht="13.5" customHeight="1" x14ac:dyDescent="0.2"/>
    <row r="180" s="51" customFormat="1" ht="13.5" customHeight="1" x14ac:dyDescent="0.2"/>
    <row r="181" s="51" customFormat="1" ht="13.5" customHeight="1" x14ac:dyDescent="0.2"/>
    <row r="182" s="51" customFormat="1" ht="13.5" customHeight="1" x14ac:dyDescent="0.2"/>
    <row r="183" s="51" customFormat="1" ht="13.5" customHeight="1" x14ac:dyDescent="0.2"/>
    <row r="184" s="51" customFormat="1" ht="13.5" customHeight="1" x14ac:dyDescent="0.2"/>
    <row r="185" s="51" customFormat="1" ht="13.5" customHeight="1" x14ac:dyDescent="0.2"/>
    <row r="186" s="51" customFormat="1" ht="13.5" customHeight="1" x14ac:dyDescent="0.2"/>
    <row r="187" s="51" customFormat="1" ht="13.5" customHeight="1" x14ac:dyDescent="0.2"/>
    <row r="188" s="51" customFormat="1" ht="13.5" customHeight="1" x14ac:dyDescent="0.2"/>
    <row r="189" s="51" customFormat="1" ht="13.5" customHeight="1" x14ac:dyDescent="0.2"/>
    <row r="190" s="51" customFormat="1" ht="13.5" customHeight="1" x14ac:dyDescent="0.2"/>
    <row r="191" s="51" customFormat="1" ht="13.5" customHeight="1" x14ac:dyDescent="0.2"/>
    <row r="192" s="51" customFormat="1" ht="13.5" customHeight="1" x14ac:dyDescent="0.2"/>
    <row r="193" s="51" customFormat="1" ht="13.5" customHeight="1" x14ac:dyDescent="0.2"/>
    <row r="194" s="51" customFormat="1" ht="13.5" customHeight="1" x14ac:dyDescent="0.2"/>
    <row r="195" s="51" customFormat="1" ht="13.5" customHeight="1" x14ac:dyDescent="0.2"/>
    <row r="196" s="51" customFormat="1" ht="13.5" customHeight="1" x14ac:dyDescent="0.2"/>
    <row r="197" s="51" customFormat="1" ht="13.5" customHeight="1" x14ac:dyDescent="0.2"/>
    <row r="198" s="51" customFormat="1" ht="13.5" customHeight="1" x14ac:dyDescent="0.2"/>
    <row r="199" s="51" customFormat="1" ht="13.5" customHeight="1" x14ac:dyDescent="0.2"/>
    <row r="200" s="51" customFormat="1" ht="13.5" customHeight="1" x14ac:dyDescent="0.2"/>
    <row r="201" s="51" customFormat="1" ht="13.5" customHeight="1" x14ac:dyDescent="0.2"/>
    <row r="202" s="51" customFormat="1" ht="13.5" customHeight="1" x14ac:dyDescent="0.2"/>
    <row r="203" s="51" customFormat="1" ht="13.5" customHeight="1" x14ac:dyDescent="0.2"/>
    <row r="204" s="51" customFormat="1" ht="13.5" customHeight="1" x14ac:dyDescent="0.2"/>
    <row r="205" s="51" customFormat="1" ht="13.5" customHeight="1" x14ac:dyDescent="0.2"/>
    <row r="206" s="51" customFormat="1" ht="13.5" customHeight="1" x14ac:dyDescent="0.2"/>
    <row r="207" s="51" customFormat="1" ht="13.5" customHeight="1" x14ac:dyDescent="0.2"/>
    <row r="208" s="51" customFormat="1" ht="13.5" customHeight="1" x14ac:dyDescent="0.2"/>
    <row r="209" s="51" customFormat="1" ht="13.5" customHeight="1" x14ac:dyDescent="0.2"/>
    <row r="210" s="51" customFormat="1" ht="13.5" customHeight="1" x14ac:dyDescent="0.2"/>
    <row r="211" s="51" customFormat="1" ht="13.5" customHeight="1" x14ac:dyDescent="0.2"/>
    <row r="212" s="51" customFormat="1" ht="13.5" customHeight="1" x14ac:dyDescent="0.2"/>
    <row r="213" s="51" customFormat="1" ht="13.5" customHeight="1" x14ac:dyDescent="0.2"/>
    <row r="214" s="51" customFormat="1" ht="13.5" customHeight="1" x14ac:dyDescent="0.2"/>
    <row r="215" s="51" customFormat="1" ht="13.5" customHeight="1" x14ac:dyDescent="0.2"/>
    <row r="216" s="51" customFormat="1" ht="13.5" customHeight="1" x14ac:dyDescent="0.2"/>
    <row r="217" s="51" customFormat="1" ht="13.5" customHeight="1" x14ac:dyDescent="0.2"/>
    <row r="218" s="51" customFormat="1" ht="13.5" customHeight="1" x14ac:dyDescent="0.2"/>
    <row r="219" s="51" customFormat="1" ht="13.5" customHeight="1" x14ac:dyDescent="0.2"/>
    <row r="220" s="51" customFormat="1" ht="13.5" customHeight="1" x14ac:dyDescent="0.2"/>
    <row r="221" s="51" customFormat="1" ht="13.5" customHeight="1" x14ac:dyDescent="0.2"/>
    <row r="222" s="51" customFormat="1" ht="13.5" customHeight="1" x14ac:dyDescent="0.2"/>
    <row r="223" s="51" customFormat="1" ht="13.5" customHeight="1" x14ac:dyDescent="0.2"/>
    <row r="224" s="51" customFormat="1" ht="13.5" customHeight="1" x14ac:dyDescent="0.2"/>
    <row r="225" s="51" customFormat="1" ht="13.5" customHeight="1" x14ac:dyDescent="0.2"/>
    <row r="226" s="51" customFormat="1" ht="13.5" customHeight="1" x14ac:dyDescent="0.2"/>
    <row r="227" s="51" customFormat="1" ht="13.5" customHeight="1" x14ac:dyDescent="0.2"/>
    <row r="228" s="51" customFormat="1" ht="13.5" customHeight="1" x14ac:dyDescent="0.2"/>
    <row r="229" s="51" customFormat="1" ht="13.5" customHeight="1" x14ac:dyDescent="0.2"/>
    <row r="230" s="51" customFormat="1" ht="13.5" customHeight="1" x14ac:dyDescent="0.2"/>
    <row r="231" s="51" customFormat="1" ht="13.5" customHeight="1" x14ac:dyDescent="0.2"/>
    <row r="232" s="51" customFormat="1" ht="13.5" customHeight="1" x14ac:dyDescent="0.2"/>
    <row r="233" s="51" customFormat="1" ht="13.5" customHeight="1" x14ac:dyDescent="0.2"/>
    <row r="234" s="51" customFormat="1" ht="13.5" customHeight="1" x14ac:dyDescent="0.2"/>
    <row r="235" s="51" customFormat="1" ht="13.5" customHeight="1" x14ac:dyDescent="0.2"/>
    <row r="236" s="51" customFormat="1" ht="13.5" customHeight="1" x14ac:dyDescent="0.2"/>
    <row r="237" s="51" customFormat="1" ht="13.5" customHeight="1" x14ac:dyDescent="0.2"/>
    <row r="238" s="51" customFormat="1" ht="13.5" customHeight="1" x14ac:dyDescent="0.2"/>
    <row r="239" s="51" customFormat="1" ht="13.5" customHeight="1" x14ac:dyDescent="0.2"/>
    <row r="240" s="51" customFormat="1" ht="13.5" customHeight="1" x14ac:dyDescent="0.2"/>
    <row r="241" s="51" customFormat="1" ht="13.5" customHeight="1" x14ac:dyDescent="0.2"/>
    <row r="242" s="51" customFormat="1" ht="13.5" customHeight="1" x14ac:dyDescent="0.2"/>
    <row r="243" s="51" customFormat="1" ht="13.5" customHeight="1" x14ac:dyDescent="0.2"/>
    <row r="244" s="51" customFormat="1" ht="13.5" customHeight="1" x14ac:dyDescent="0.2"/>
    <row r="245" s="51" customFormat="1" ht="13.5" customHeight="1" x14ac:dyDescent="0.2"/>
    <row r="246" s="51" customFormat="1" ht="13.5" customHeight="1" x14ac:dyDescent="0.2"/>
    <row r="247" s="51" customFormat="1" ht="13.5" customHeight="1" x14ac:dyDescent="0.2"/>
    <row r="248" s="51" customFormat="1" ht="13.5" customHeight="1" x14ac:dyDescent="0.2"/>
    <row r="249" s="51" customFormat="1" ht="13.5" customHeight="1" x14ac:dyDescent="0.2"/>
    <row r="250" s="51" customFormat="1" ht="13.5" customHeight="1" x14ac:dyDescent="0.2"/>
    <row r="251" s="51" customFormat="1" ht="13.5" customHeight="1" x14ac:dyDescent="0.2"/>
    <row r="252" s="51" customFormat="1" ht="13.5" customHeight="1" x14ac:dyDescent="0.2"/>
    <row r="253" s="51" customFormat="1" ht="13.5" customHeight="1" x14ac:dyDescent="0.2"/>
    <row r="254" s="51" customFormat="1" ht="13.5" customHeight="1" x14ac:dyDescent="0.2"/>
    <row r="255" s="51" customFormat="1" ht="13.5" customHeight="1" x14ac:dyDescent="0.2"/>
    <row r="256" s="51" customFormat="1" ht="13.5" customHeight="1" x14ac:dyDescent="0.2"/>
    <row r="257" s="51" customFormat="1" ht="13.5" customHeight="1" x14ac:dyDescent="0.2"/>
    <row r="258" s="51" customFormat="1" ht="13.5" customHeight="1" x14ac:dyDescent="0.2"/>
    <row r="259" s="51" customFormat="1" ht="13.5" customHeight="1" x14ac:dyDescent="0.2"/>
    <row r="260" s="51" customFormat="1" ht="13.5" customHeight="1" x14ac:dyDescent="0.2"/>
    <row r="261" s="51" customFormat="1" ht="13.5" customHeight="1" x14ac:dyDescent="0.2"/>
    <row r="262" s="51" customFormat="1" ht="13.5" customHeight="1" x14ac:dyDescent="0.2"/>
    <row r="263" s="51" customFormat="1" ht="13.5" customHeight="1" x14ac:dyDescent="0.2"/>
    <row r="264" s="51" customFormat="1" ht="13.5" customHeight="1" x14ac:dyDescent="0.2"/>
    <row r="265" s="51" customFormat="1" ht="13.5" customHeight="1" x14ac:dyDescent="0.2"/>
    <row r="266" s="51" customFormat="1" ht="13.5" customHeight="1" x14ac:dyDescent="0.2"/>
    <row r="267" s="51" customFormat="1" ht="13.5" customHeight="1" x14ac:dyDescent="0.2"/>
    <row r="268" s="51" customFormat="1" ht="13.5" customHeight="1" x14ac:dyDescent="0.2"/>
    <row r="269" s="51" customFormat="1" ht="13.5" customHeight="1" x14ac:dyDescent="0.2"/>
    <row r="270" s="51" customFormat="1" ht="13.5" customHeight="1" x14ac:dyDescent="0.2"/>
    <row r="271" s="51" customFormat="1" ht="13.5" customHeight="1" x14ac:dyDescent="0.2"/>
    <row r="272" s="51" customFormat="1" ht="13.5" customHeight="1" x14ac:dyDescent="0.2"/>
    <row r="273" s="51" customFormat="1" ht="13.5" customHeight="1" x14ac:dyDescent="0.2"/>
    <row r="274" s="51" customFormat="1" ht="13.5" customHeight="1" x14ac:dyDescent="0.2"/>
    <row r="275" s="51" customFormat="1" ht="13.5" customHeight="1" x14ac:dyDescent="0.2"/>
    <row r="276" s="51" customFormat="1" ht="13.5" customHeight="1" x14ac:dyDescent="0.2"/>
    <row r="277" s="51" customFormat="1" ht="13.5" customHeight="1" x14ac:dyDescent="0.2"/>
    <row r="278" s="51" customFormat="1" ht="13.5" customHeight="1" x14ac:dyDescent="0.2"/>
    <row r="279" s="51" customFormat="1" ht="13.5" customHeight="1" x14ac:dyDescent="0.2"/>
    <row r="280" s="51" customFormat="1" ht="13.5" customHeight="1" x14ac:dyDescent="0.2"/>
    <row r="281" s="51" customFormat="1" ht="13.5" customHeight="1" x14ac:dyDescent="0.2"/>
    <row r="282" s="51" customFormat="1" ht="13.5" customHeight="1" x14ac:dyDescent="0.2"/>
    <row r="283" s="51" customFormat="1" ht="13.5" customHeight="1" x14ac:dyDescent="0.2"/>
    <row r="284" s="51" customFormat="1" ht="13.5" customHeight="1" x14ac:dyDescent="0.2"/>
    <row r="285" s="51" customFormat="1" ht="13.5" customHeight="1" x14ac:dyDescent="0.2"/>
    <row r="286" s="51" customFormat="1" ht="13.5" customHeight="1" x14ac:dyDescent="0.2"/>
    <row r="287" s="51" customFormat="1" ht="13.5" customHeight="1" x14ac:dyDescent="0.2"/>
    <row r="288" s="51" customFormat="1" ht="13.5" customHeight="1" x14ac:dyDescent="0.2"/>
    <row r="289" s="51" customFormat="1" ht="13.5" customHeight="1" x14ac:dyDescent="0.2"/>
    <row r="290" s="51" customFormat="1" ht="13.5" customHeight="1" x14ac:dyDescent="0.2"/>
    <row r="291" s="51" customFormat="1" ht="13.5" customHeight="1" x14ac:dyDescent="0.2"/>
    <row r="292" s="51" customFormat="1" ht="13.5" customHeight="1" x14ac:dyDescent="0.2"/>
    <row r="293" s="51" customFormat="1" ht="13.5" customHeight="1" x14ac:dyDescent="0.2"/>
    <row r="294" s="51" customFormat="1" ht="13.5" customHeight="1" x14ac:dyDescent="0.2"/>
    <row r="295" s="51" customFormat="1" ht="13.5" customHeight="1" x14ac:dyDescent="0.2"/>
    <row r="296" s="51" customFormat="1" ht="13.5" customHeight="1" x14ac:dyDescent="0.2"/>
    <row r="297" s="51" customFormat="1" ht="13.5" customHeight="1" x14ac:dyDescent="0.2"/>
    <row r="298" s="51" customFormat="1" ht="13.5" customHeight="1" x14ac:dyDescent="0.2"/>
    <row r="299" s="51" customFormat="1" ht="13.5" customHeight="1" x14ac:dyDescent="0.2"/>
    <row r="300" s="51" customFormat="1" ht="13.5" customHeight="1" x14ac:dyDescent="0.2"/>
    <row r="301" s="51" customFormat="1" ht="13.5" customHeight="1" x14ac:dyDescent="0.2"/>
    <row r="302" s="51" customFormat="1" ht="13.5" customHeight="1" x14ac:dyDescent="0.2"/>
    <row r="303" s="51" customFormat="1" ht="13.5" customHeight="1" x14ac:dyDescent="0.2"/>
    <row r="304" s="51" customFormat="1" ht="13.5" customHeight="1" x14ac:dyDescent="0.2"/>
    <row r="305" s="51" customFormat="1" ht="13.5" customHeight="1" x14ac:dyDescent="0.2"/>
    <row r="306" s="51" customFormat="1" ht="13.5" customHeight="1" x14ac:dyDescent="0.2"/>
    <row r="307" s="51" customFormat="1" ht="13.5" customHeight="1" x14ac:dyDescent="0.2"/>
    <row r="308" s="51" customFormat="1" ht="13.5" customHeight="1" x14ac:dyDescent="0.2"/>
    <row r="309" s="51" customFormat="1" ht="13.5" customHeight="1" x14ac:dyDescent="0.2"/>
    <row r="310" s="51" customFormat="1" ht="13.5" customHeight="1" x14ac:dyDescent="0.2"/>
    <row r="311" s="51" customFormat="1" ht="13.5" customHeight="1" x14ac:dyDescent="0.2"/>
    <row r="312" s="51" customFormat="1" ht="13.5" customHeight="1" x14ac:dyDescent="0.2"/>
    <row r="313" s="51" customFormat="1" ht="13.5" customHeight="1" x14ac:dyDescent="0.2"/>
    <row r="314" s="51" customFormat="1" ht="13.5" customHeight="1" x14ac:dyDescent="0.2"/>
    <row r="315" s="51" customFormat="1" ht="13.5" customHeight="1" x14ac:dyDescent="0.2"/>
    <row r="316" s="51" customFormat="1" ht="13.5" customHeight="1" x14ac:dyDescent="0.2"/>
    <row r="317" s="51" customFormat="1" ht="13.5" customHeight="1" x14ac:dyDescent="0.2"/>
    <row r="318" s="51" customFormat="1" ht="13.5" customHeight="1" x14ac:dyDescent="0.2"/>
    <row r="319" s="51" customFormat="1" ht="13.5" customHeight="1" x14ac:dyDescent="0.2"/>
    <row r="320" s="51" customFormat="1" ht="13.5" customHeight="1" x14ac:dyDescent="0.2"/>
    <row r="321" s="51" customFormat="1" ht="13.5" customHeight="1" x14ac:dyDescent="0.2"/>
    <row r="322" s="51" customFormat="1" ht="13.5" customHeight="1" x14ac:dyDescent="0.2"/>
    <row r="323" s="51" customFormat="1" ht="13.5" customHeight="1" x14ac:dyDescent="0.2"/>
    <row r="324" s="51" customFormat="1" ht="13.5" customHeight="1" x14ac:dyDescent="0.2"/>
    <row r="325" s="51" customFormat="1" ht="13.5" customHeight="1" x14ac:dyDescent="0.2"/>
    <row r="326" s="51" customFormat="1" ht="13.5" customHeight="1" x14ac:dyDescent="0.2"/>
    <row r="327" s="51" customFormat="1" ht="13.5" customHeight="1" x14ac:dyDescent="0.2"/>
    <row r="328" s="51" customFormat="1" ht="13.5" customHeight="1" x14ac:dyDescent="0.2"/>
    <row r="329" s="51" customFormat="1" ht="13.5" customHeight="1" x14ac:dyDescent="0.2"/>
    <row r="330" s="51" customFormat="1" ht="13.5" customHeight="1" x14ac:dyDescent="0.2"/>
    <row r="331" s="51" customFormat="1" ht="13.5" customHeight="1" x14ac:dyDescent="0.2"/>
    <row r="332" s="51" customFormat="1" ht="13.5" customHeight="1" x14ac:dyDescent="0.2"/>
    <row r="333" s="51" customFormat="1" ht="13.5" customHeight="1" x14ac:dyDescent="0.2"/>
    <row r="334" s="51" customFormat="1" ht="13.5" customHeight="1" x14ac:dyDescent="0.2"/>
    <row r="335" s="51" customFormat="1" ht="13.5" customHeight="1" x14ac:dyDescent="0.2"/>
    <row r="336" s="51" customFormat="1" ht="13.5" customHeight="1" x14ac:dyDescent="0.2"/>
    <row r="337" s="51" customFormat="1" ht="13.5" customHeight="1" x14ac:dyDescent="0.2"/>
    <row r="338" s="51" customFormat="1" ht="13.5" customHeight="1" x14ac:dyDescent="0.2"/>
    <row r="339" s="51" customFormat="1" ht="13.5" customHeight="1" x14ac:dyDescent="0.2"/>
    <row r="340" s="51" customFormat="1" ht="13.5" customHeight="1" x14ac:dyDescent="0.2"/>
    <row r="341" s="51" customFormat="1" ht="13.5" customHeight="1" x14ac:dyDescent="0.2"/>
    <row r="342" s="51" customFormat="1" ht="13.5" customHeight="1" x14ac:dyDescent="0.2"/>
    <row r="343" s="51" customFormat="1" ht="13.5" customHeight="1" x14ac:dyDescent="0.2"/>
    <row r="344" s="51" customFormat="1" ht="13.5" customHeight="1" x14ac:dyDescent="0.2"/>
    <row r="345" s="51" customFormat="1" ht="13.5" customHeight="1" x14ac:dyDescent="0.2"/>
    <row r="346" s="51" customFormat="1" ht="13.5" customHeight="1" x14ac:dyDescent="0.2"/>
    <row r="347" s="51" customFormat="1" ht="13.5" customHeight="1" x14ac:dyDescent="0.2"/>
    <row r="348" s="51" customFormat="1" ht="13.5" customHeight="1" x14ac:dyDescent="0.2"/>
    <row r="349" s="51" customFormat="1" ht="13.5" customHeight="1" x14ac:dyDescent="0.2"/>
    <row r="350" s="51" customFormat="1" ht="13.5" customHeight="1" x14ac:dyDescent="0.2"/>
    <row r="351" s="51" customFormat="1" ht="13.5" customHeight="1" x14ac:dyDescent="0.2"/>
    <row r="352" s="51" customFormat="1" ht="13.5" customHeight="1" x14ac:dyDescent="0.2"/>
    <row r="353" s="51" customFormat="1" ht="13.5" customHeight="1" x14ac:dyDescent="0.2"/>
    <row r="354" s="51" customFormat="1" ht="13.5" customHeight="1" x14ac:dyDescent="0.2"/>
    <row r="355" s="51" customFormat="1" ht="13.5" customHeight="1" x14ac:dyDescent="0.2"/>
    <row r="356" s="51" customFormat="1" ht="13.5" customHeight="1" x14ac:dyDescent="0.2"/>
    <row r="357" s="51" customFormat="1" ht="13.5" customHeight="1" x14ac:dyDescent="0.2"/>
    <row r="358" s="51" customFormat="1" ht="13.5" customHeight="1" x14ac:dyDescent="0.2"/>
    <row r="359" s="51" customFormat="1" ht="13.5" customHeight="1" x14ac:dyDescent="0.2"/>
    <row r="360" s="51" customFormat="1" ht="13.5" customHeight="1" x14ac:dyDescent="0.2"/>
    <row r="361" s="51" customFormat="1" ht="13.5" customHeight="1" x14ac:dyDescent="0.2"/>
    <row r="362" s="51" customFormat="1" ht="13.5" customHeight="1" x14ac:dyDescent="0.2"/>
    <row r="363" s="51" customFormat="1" ht="13.5" customHeight="1" x14ac:dyDescent="0.2"/>
    <row r="364" s="51" customFormat="1" ht="13.5" customHeight="1" x14ac:dyDescent="0.2"/>
    <row r="365" s="51" customFormat="1" ht="13.5" customHeight="1" x14ac:dyDescent="0.2"/>
    <row r="366" s="51" customFormat="1" ht="13.5" customHeight="1" x14ac:dyDescent="0.2"/>
    <row r="367" s="51" customFormat="1" ht="13.5" customHeight="1" x14ac:dyDescent="0.2"/>
    <row r="368" s="51" customFormat="1" ht="13.5" customHeight="1" x14ac:dyDescent="0.2"/>
    <row r="369" s="51" customFormat="1" ht="13.5" customHeight="1" x14ac:dyDescent="0.2"/>
    <row r="370" s="51" customFormat="1" ht="13.5" customHeight="1" x14ac:dyDescent="0.2"/>
    <row r="371" s="51" customFormat="1" ht="13.5" customHeight="1" x14ac:dyDescent="0.2"/>
    <row r="372" s="51" customFormat="1" ht="13.5" customHeight="1" x14ac:dyDescent="0.2"/>
    <row r="373" s="51" customFormat="1" ht="13.5" customHeight="1" x14ac:dyDescent="0.2"/>
    <row r="374" s="51" customFormat="1" ht="13.5" customHeight="1" x14ac:dyDescent="0.2"/>
    <row r="375" s="51" customFormat="1" ht="13.5" customHeight="1" x14ac:dyDescent="0.2"/>
    <row r="376" s="51" customFormat="1" ht="13.5" customHeight="1" x14ac:dyDescent="0.2"/>
    <row r="377" s="51" customFormat="1" ht="13.5" customHeight="1" x14ac:dyDescent="0.2"/>
    <row r="378" s="51" customFormat="1" ht="13.5" customHeight="1" x14ac:dyDescent="0.2"/>
    <row r="379" s="51" customFormat="1" ht="13.5" customHeight="1" x14ac:dyDescent="0.2"/>
    <row r="380" s="51" customFormat="1" ht="13.5" customHeight="1" x14ac:dyDescent="0.2"/>
    <row r="381" s="51" customFormat="1" ht="13.5" customHeight="1" x14ac:dyDescent="0.2"/>
    <row r="382" s="51" customFormat="1" ht="13.5" customHeight="1" x14ac:dyDescent="0.2"/>
    <row r="383" s="51" customFormat="1" ht="13.5" customHeight="1" x14ac:dyDescent="0.2"/>
    <row r="384" s="51" customFormat="1" ht="13.5" customHeight="1" x14ac:dyDescent="0.2"/>
    <row r="385" s="51" customFormat="1" ht="13.5" customHeight="1" x14ac:dyDescent="0.2"/>
    <row r="386" s="51" customFormat="1" ht="13.5" customHeight="1" x14ac:dyDescent="0.2"/>
    <row r="387" s="51" customFormat="1" ht="13.5" customHeight="1" x14ac:dyDescent="0.2"/>
    <row r="388" s="51" customFormat="1" ht="13.5" customHeight="1" x14ac:dyDescent="0.2"/>
    <row r="389" s="51" customFormat="1" ht="13.5" customHeight="1" x14ac:dyDescent="0.2"/>
    <row r="390" s="51" customFormat="1" ht="13.5" customHeight="1" x14ac:dyDescent="0.2"/>
    <row r="391" s="51" customFormat="1" ht="13.5" customHeight="1" x14ac:dyDescent="0.2"/>
    <row r="392" s="51" customFormat="1" ht="13.5" customHeight="1" x14ac:dyDescent="0.2"/>
    <row r="393" s="51" customFormat="1" ht="13.5" customHeight="1" x14ac:dyDescent="0.2"/>
    <row r="394" s="51" customFormat="1" ht="13.5" customHeight="1" x14ac:dyDescent="0.2"/>
    <row r="395" s="51" customFormat="1" ht="13.5" customHeight="1" x14ac:dyDescent="0.2"/>
    <row r="396" s="51" customFormat="1" ht="13.5" customHeight="1" x14ac:dyDescent="0.2"/>
    <row r="397" s="51" customFormat="1" ht="13.5" customHeight="1" x14ac:dyDescent="0.2"/>
    <row r="398" s="51" customFormat="1" ht="13.5" customHeight="1" x14ac:dyDescent="0.2"/>
    <row r="399" s="51" customFormat="1" ht="13.5" customHeight="1" x14ac:dyDescent="0.2"/>
    <row r="400" s="51" customFormat="1" ht="13.5" customHeight="1" x14ac:dyDescent="0.2"/>
    <row r="401" s="51" customFormat="1" ht="13.5" customHeight="1" x14ac:dyDescent="0.2"/>
    <row r="402" s="51" customFormat="1" ht="13.5" customHeight="1" x14ac:dyDescent="0.2"/>
    <row r="403" s="51" customFormat="1" ht="13.5" customHeight="1" x14ac:dyDescent="0.2"/>
    <row r="404" s="51" customFormat="1" ht="13.5" customHeight="1" x14ac:dyDescent="0.2"/>
    <row r="405" s="51" customFormat="1" ht="13.5" customHeight="1" x14ac:dyDescent="0.2"/>
    <row r="406" s="51" customFormat="1" ht="13.5" customHeight="1" x14ac:dyDescent="0.2"/>
    <row r="407" s="51" customFormat="1" ht="13.5" customHeight="1" x14ac:dyDescent="0.2"/>
    <row r="408" s="51" customFormat="1" ht="13.5" customHeight="1" x14ac:dyDescent="0.2"/>
    <row r="409" s="51" customFormat="1" ht="13.5" customHeight="1" x14ac:dyDescent="0.2"/>
    <row r="410" s="51" customFormat="1" ht="13.5" customHeight="1" x14ac:dyDescent="0.2"/>
    <row r="411" s="51" customFormat="1" ht="13.5" customHeight="1" x14ac:dyDescent="0.2"/>
    <row r="412" s="51" customFormat="1" ht="13.5" customHeight="1" x14ac:dyDescent="0.2"/>
    <row r="413" s="51" customFormat="1" ht="13.5" customHeight="1" x14ac:dyDescent="0.2"/>
    <row r="414" s="51" customFormat="1" ht="13.5" customHeight="1" x14ac:dyDescent="0.2"/>
    <row r="415" s="51" customFormat="1" ht="13.5" customHeight="1" x14ac:dyDescent="0.2"/>
    <row r="416" s="51" customFormat="1" ht="13.5" customHeight="1" x14ac:dyDescent="0.2"/>
    <row r="417" s="51" customFormat="1" ht="13.5" customHeight="1" x14ac:dyDescent="0.2"/>
    <row r="418" s="51" customFormat="1" ht="13.5" customHeight="1" x14ac:dyDescent="0.2"/>
    <row r="419" s="51" customFormat="1" ht="13.5" customHeight="1" x14ac:dyDescent="0.2"/>
    <row r="420" s="51" customFormat="1" ht="13.5" customHeight="1" x14ac:dyDescent="0.2"/>
    <row r="421" s="51" customFormat="1" ht="13.5" customHeight="1" x14ac:dyDescent="0.2"/>
    <row r="422" s="51" customFormat="1" ht="13.5" customHeight="1" x14ac:dyDescent="0.2"/>
    <row r="423" s="51" customFormat="1" ht="13.5" customHeight="1" x14ac:dyDescent="0.2"/>
    <row r="424" s="51" customFormat="1" ht="13.5" customHeight="1" x14ac:dyDescent="0.2"/>
    <row r="425" s="51" customFormat="1" ht="13.5" customHeight="1" x14ac:dyDescent="0.2"/>
    <row r="426" s="51" customFormat="1" ht="13.5" customHeight="1" x14ac:dyDescent="0.2"/>
    <row r="427" s="51" customFormat="1" ht="13.5" customHeight="1" x14ac:dyDescent="0.2"/>
    <row r="428" s="51" customFormat="1" ht="13.5" customHeight="1" x14ac:dyDescent="0.2"/>
    <row r="429" s="51" customFormat="1" ht="13.5" customHeight="1" x14ac:dyDescent="0.2"/>
    <row r="430" s="51" customFormat="1" ht="13.5" customHeight="1" x14ac:dyDescent="0.2"/>
    <row r="431" s="51" customFormat="1" ht="13.5" customHeight="1" x14ac:dyDescent="0.2"/>
    <row r="432" s="51" customFormat="1" ht="13.5" customHeight="1" x14ac:dyDescent="0.2"/>
    <row r="433" s="51" customFormat="1" ht="13.5" customHeight="1" x14ac:dyDescent="0.2"/>
    <row r="434" s="51" customFormat="1" ht="13.5" customHeight="1" x14ac:dyDescent="0.2"/>
    <row r="435" s="51" customFormat="1" ht="13.5" customHeight="1" x14ac:dyDescent="0.2"/>
    <row r="436" s="51" customFormat="1" ht="13.5" customHeight="1" x14ac:dyDescent="0.2"/>
    <row r="437" s="51" customFormat="1" ht="13.5" customHeight="1" x14ac:dyDescent="0.2"/>
    <row r="438" s="51" customFormat="1" ht="13.5" customHeight="1" x14ac:dyDescent="0.2"/>
    <row r="439" s="51" customFormat="1" ht="13.5" customHeight="1" x14ac:dyDescent="0.2"/>
    <row r="440" s="51" customFormat="1" ht="13.5" customHeight="1" x14ac:dyDescent="0.2"/>
    <row r="441" s="51" customFormat="1" ht="13.5" customHeight="1" x14ac:dyDescent="0.2"/>
    <row r="442" s="51" customFormat="1" ht="13.5" customHeight="1" x14ac:dyDescent="0.2"/>
    <row r="443" s="51" customFormat="1" ht="13.5" customHeight="1" x14ac:dyDescent="0.2"/>
    <row r="444" s="51" customFormat="1" ht="13.5" customHeight="1" x14ac:dyDescent="0.2"/>
    <row r="445" s="51" customFormat="1" ht="13.5" customHeight="1" x14ac:dyDescent="0.2"/>
    <row r="446" s="51" customFormat="1" ht="13.5" customHeight="1" x14ac:dyDescent="0.2"/>
    <row r="447" s="51" customFormat="1" ht="13.5" customHeight="1" x14ac:dyDescent="0.2"/>
    <row r="448" s="51" customFormat="1" ht="13.5" customHeight="1" x14ac:dyDescent="0.2"/>
    <row r="449" s="51" customFormat="1" ht="13.5" customHeight="1" x14ac:dyDescent="0.2"/>
    <row r="450" s="51" customFormat="1" ht="13.5" customHeight="1" x14ac:dyDescent="0.2"/>
    <row r="451" s="51" customFormat="1" ht="13.5" customHeight="1" x14ac:dyDescent="0.2"/>
    <row r="452" s="51" customFormat="1" ht="13.5" customHeight="1" x14ac:dyDescent="0.2"/>
    <row r="453" s="51" customFormat="1" ht="13.5" customHeight="1" x14ac:dyDescent="0.2"/>
    <row r="454" s="51" customFormat="1" ht="13.5" customHeight="1" x14ac:dyDescent="0.2"/>
    <row r="455" s="51" customFormat="1" ht="13.5" customHeight="1" x14ac:dyDescent="0.2"/>
    <row r="456" s="51" customFormat="1" ht="13.5" customHeight="1" x14ac:dyDescent="0.2"/>
    <row r="457" s="51" customFormat="1" ht="13.5" customHeight="1" x14ac:dyDescent="0.2"/>
    <row r="458" s="51" customFormat="1" ht="13.5" customHeight="1" x14ac:dyDescent="0.2"/>
    <row r="459" s="51" customFormat="1" ht="13.5" customHeight="1" x14ac:dyDescent="0.2"/>
    <row r="460" s="51" customFormat="1" ht="13.5" customHeight="1" x14ac:dyDescent="0.2"/>
    <row r="461" s="51" customFormat="1" ht="13.5" customHeight="1" x14ac:dyDescent="0.2"/>
    <row r="462" s="51" customFormat="1" ht="13.5" customHeight="1" x14ac:dyDescent="0.2"/>
    <row r="463" s="51" customFormat="1" ht="13.5" customHeight="1" x14ac:dyDescent="0.2"/>
    <row r="464" s="51" customFormat="1" ht="13.5" customHeight="1" x14ac:dyDescent="0.2"/>
    <row r="465" s="51" customFormat="1" ht="13.5" customHeight="1" x14ac:dyDescent="0.2"/>
    <row r="466" s="51" customFormat="1" ht="13.5" customHeight="1" x14ac:dyDescent="0.2"/>
    <row r="467" s="51" customFormat="1" ht="13.5" customHeight="1" x14ac:dyDescent="0.2"/>
    <row r="468" s="51" customFormat="1" ht="13.5" customHeight="1" x14ac:dyDescent="0.2"/>
    <row r="469" s="51" customFormat="1" ht="13.5" customHeight="1" x14ac:dyDescent="0.2"/>
    <row r="470" s="51" customFormat="1" ht="13.5" customHeight="1" x14ac:dyDescent="0.2"/>
    <row r="471" s="51" customFormat="1" ht="13.5" customHeight="1" x14ac:dyDescent="0.2"/>
    <row r="472" s="51" customFormat="1" ht="13.5" customHeight="1" x14ac:dyDescent="0.2"/>
    <row r="473" s="51" customFormat="1" ht="13.5" customHeight="1" x14ac:dyDescent="0.2"/>
    <row r="474" s="51" customFormat="1" ht="13.5" customHeight="1" x14ac:dyDescent="0.2"/>
    <row r="475" s="51" customFormat="1" ht="13.5" customHeight="1" x14ac:dyDescent="0.2"/>
    <row r="476" s="51" customFormat="1" ht="13.5" customHeight="1" x14ac:dyDescent="0.2"/>
    <row r="477" s="51" customFormat="1" ht="13.5" customHeight="1" x14ac:dyDescent="0.2"/>
    <row r="478" s="51" customFormat="1" ht="13.5" customHeight="1" x14ac:dyDescent="0.2"/>
    <row r="479" s="51" customFormat="1" ht="13.5" customHeight="1" x14ac:dyDescent="0.2"/>
    <row r="480" s="51" customFormat="1" ht="13.5" customHeight="1" x14ac:dyDescent="0.2"/>
    <row r="481" s="51" customFormat="1" ht="13.5" customHeight="1" x14ac:dyDescent="0.2"/>
    <row r="482" s="51" customFormat="1" ht="13.5" customHeight="1" x14ac:dyDescent="0.2"/>
    <row r="483" s="51" customFormat="1" ht="13.5" customHeight="1" x14ac:dyDescent="0.2"/>
    <row r="484" s="51" customFormat="1" ht="13.5" customHeight="1" x14ac:dyDescent="0.2"/>
    <row r="485" s="51" customFormat="1" ht="13.5" customHeight="1" x14ac:dyDescent="0.2"/>
    <row r="486" s="51" customFormat="1" ht="13.5" customHeight="1" x14ac:dyDescent="0.2"/>
    <row r="487" s="51" customFormat="1" ht="13.5" customHeight="1" x14ac:dyDescent="0.2"/>
    <row r="488" s="51" customFormat="1" ht="13.5" customHeight="1" x14ac:dyDescent="0.2"/>
    <row r="489" s="51" customFormat="1" ht="13.5" customHeight="1" x14ac:dyDescent="0.2"/>
    <row r="490" s="51" customFormat="1" ht="13.5" customHeight="1" x14ac:dyDescent="0.2"/>
    <row r="491" s="51" customFormat="1" ht="13.5" customHeight="1" x14ac:dyDescent="0.2"/>
    <row r="492" s="51" customFormat="1" ht="13.5" customHeight="1" x14ac:dyDescent="0.2"/>
    <row r="493" s="51" customFormat="1" ht="13.5" customHeight="1" x14ac:dyDescent="0.2"/>
    <row r="494" s="51" customFormat="1" ht="13.5" customHeight="1" x14ac:dyDescent="0.2"/>
    <row r="495" s="51" customFormat="1" ht="13.5" customHeight="1" x14ac:dyDescent="0.2"/>
    <row r="496" s="51" customFormat="1" ht="13.5" customHeight="1" x14ac:dyDescent="0.2"/>
    <row r="497" s="51" customFormat="1" ht="13.5" customHeight="1" x14ac:dyDescent="0.2"/>
    <row r="498" s="51" customFormat="1" ht="13.5" customHeight="1" x14ac:dyDescent="0.2"/>
    <row r="499" s="51" customFormat="1" ht="13.5" customHeight="1" x14ac:dyDescent="0.2"/>
    <row r="500" s="51" customFormat="1" ht="13.5" customHeight="1" x14ac:dyDescent="0.2"/>
    <row r="501" s="51" customFormat="1" ht="13.5" customHeight="1" x14ac:dyDescent="0.2"/>
    <row r="502" s="51" customFormat="1" ht="13.5" customHeight="1" x14ac:dyDescent="0.2"/>
    <row r="503" s="51" customFormat="1" ht="13.5" customHeight="1" x14ac:dyDescent="0.2"/>
    <row r="504" s="51" customFormat="1" ht="13.5" customHeight="1" x14ac:dyDescent="0.2"/>
    <row r="505" s="51" customFormat="1" ht="13.5" customHeight="1" x14ac:dyDescent="0.2"/>
    <row r="506" s="51" customFormat="1" ht="13.5" customHeight="1" x14ac:dyDescent="0.2"/>
    <row r="507" s="51" customFormat="1" ht="13.5" customHeight="1" x14ac:dyDescent="0.2"/>
    <row r="508" s="51" customFormat="1" ht="13.5" customHeight="1" x14ac:dyDescent="0.2"/>
    <row r="509" s="51" customFormat="1" ht="13.5" customHeight="1" x14ac:dyDescent="0.2"/>
    <row r="510" s="51" customFormat="1" ht="13.5" customHeight="1" x14ac:dyDescent="0.2"/>
    <row r="511" s="51" customFormat="1" ht="13.5" customHeight="1" x14ac:dyDescent="0.2"/>
    <row r="512" s="51" customFormat="1" ht="13.5" customHeight="1" x14ac:dyDescent="0.2"/>
    <row r="513" s="51" customFormat="1" ht="13.5" customHeight="1" x14ac:dyDescent="0.2"/>
    <row r="514" s="51" customFormat="1" ht="13.5" customHeight="1" x14ac:dyDescent="0.2"/>
    <row r="515" s="51" customFormat="1" ht="13.5" customHeight="1" x14ac:dyDescent="0.2"/>
    <row r="516" s="51" customFormat="1" ht="13.5" customHeight="1" x14ac:dyDescent="0.2"/>
    <row r="517" s="51" customFormat="1" ht="13.5" customHeight="1" x14ac:dyDescent="0.2"/>
    <row r="518" s="51" customFormat="1" ht="13.5" customHeight="1" x14ac:dyDescent="0.2"/>
    <row r="519" s="51" customFormat="1" ht="13.5" customHeight="1" x14ac:dyDescent="0.2"/>
    <row r="520" s="51" customFormat="1" ht="13.5" customHeight="1" x14ac:dyDescent="0.2"/>
    <row r="521" s="51" customFormat="1" ht="13.5" customHeight="1" x14ac:dyDescent="0.2"/>
    <row r="522" s="51" customFormat="1" ht="13.5" customHeight="1" x14ac:dyDescent="0.2"/>
    <row r="523" s="51" customFormat="1" ht="13.5" customHeight="1" x14ac:dyDescent="0.2"/>
    <row r="524" s="51" customFormat="1" ht="13.5" customHeight="1" x14ac:dyDescent="0.2"/>
    <row r="525" s="51" customFormat="1" ht="13.5" customHeight="1" x14ac:dyDescent="0.2"/>
    <row r="526" s="51" customFormat="1" ht="13.5" customHeight="1" x14ac:dyDescent="0.2"/>
    <row r="527" s="51" customFormat="1" ht="13.5" customHeight="1" x14ac:dyDescent="0.2"/>
    <row r="528" s="51" customFormat="1" ht="13.5" customHeight="1" x14ac:dyDescent="0.2"/>
    <row r="529" s="51" customFormat="1" ht="13.5" customHeight="1" x14ac:dyDescent="0.2"/>
    <row r="530" s="51" customFormat="1" ht="13.5" customHeight="1" x14ac:dyDescent="0.2"/>
    <row r="531" s="51" customFormat="1" ht="13.5" customHeight="1" x14ac:dyDescent="0.2"/>
    <row r="532" s="51" customFormat="1" ht="13.5" customHeight="1" x14ac:dyDescent="0.2"/>
    <row r="533" s="51" customFormat="1" ht="13.5" customHeight="1" x14ac:dyDescent="0.2"/>
    <row r="534" s="51" customFormat="1" ht="13.5" customHeight="1" x14ac:dyDescent="0.2"/>
    <row r="535" s="51" customFormat="1" ht="13.5" customHeight="1" x14ac:dyDescent="0.2"/>
    <row r="536" s="51" customFormat="1" ht="13.5" customHeight="1" x14ac:dyDescent="0.2"/>
    <row r="537" s="51" customFormat="1" ht="13.5" customHeight="1" x14ac:dyDescent="0.2"/>
    <row r="538" s="51" customFormat="1" ht="13.5" customHeight="1" x14ac:dyDescent="0.2"/>
    <row r="539" s="51" customFormat="1" ht="13.5" customHeight="1" x14ac:dyDescent="0.2"/>
    <row r="540" s="51" customFormat="1" ht="13.5" customHeight="1" x14ac:dyDescent="0.2"/>
    <row r="541" s="51" customFormat="1" ht="13.5" customHeight="1" x14ac:dyDescent="0.2"/>
    <row r="542" s="51" customFormat="1" ht="13.5" customHeight="1" x14ac:dyDescent="0.2"/>
    <row r="543" s="51" customFormat="1" ht="13.5" customHeight="1" x14ac:dyDescent="0.2"/>
    <row r="544" s="51" customFormat="1" ht="13.5" customHeight="1" x14ac:dyDescent="0.2"/>
    <row r="545" s="51" customFormat="1" ht="13.5" customHeight="1" x14ac:dyDescent="0.2"/>
    <row r="546" s="51" customFormat="1" ht="13.5" customHeight="1" x14ac:dyDescent="0.2"/>
    <row r="547" s="51" customFormat="1" ht="13.5" customHeight="1" x14ac:dyDescent="0.2"/>
    <row r="548" s="51" customFormat="1" ht="13.5" customHeight="1" x14ac:dyDescent="0.2"/>
    <row r="549" s="51" customFormat="1" ht="13.5" customHeight="1" x14ac:dyDescent="0.2"/>
    <row r="550" s="51" customFormat="1" ht="13.5" customHeight="1" x14ac:dyDescent="0.2"/>
    <row r="551" s="51" customFormat="1" ht="13.5" customHeight="1" x14ac:dyDescent="0.2"/>
    <row r="552" s="51" customFormat="1" ht="13.5" customHeight="1" x14ac:dyDescent="0.2"/>
    <row r="553" s="51" customFormat="1" ht="13.5" customHeight="1" x14ac:dyDescent="0.2"/>
    <row r="554" s="51" customFormat="1" ht="13.5" customHeight="1" x14ac:dyDescent="0.2"/>
    <row r="555" s="51" customFormat="1" ht="13.5" customHeight="1" x14ac:dyDescent="0.2"/>
    <row r="556" s="51" customFormat="1" ht="13.5" customHeight="1" x14ac:dyDescent="0.2"/>
    <row r="557" s="51" customFormat="1" ht="13.5" customHeight="1" x14ac:dyDescent="0.2"/>
    <row r="558" s="51" customFormat="1" ht="13.5" customHeight="1" x14ac:dyDescent="0.2"/>
    <row r="559" s="51" customFormat="1" ht="13.5" customHeight="1" x14ac:dyDescent="0.2"/>
    <row r="560" s="51" customFormat="1" ht="13.5" customHeight="1" x14ac:dyDescent="0.2"/>
    <row r="561" s="51" customFormat="1" ht="13.5" customHeight="1" x14ac:dyDescent="0.2"/>
    <row r="562" s="51" customFormat="1" ht="13.5" customHeight="1" x14ac:dyDescent="0.2"/>
    <row r="563" s="51" customFormat="1" ht="13.5" customHeight="1" x14ac:dyDescent="0.2"/>
    <row r="564" s="51" customFormat="1" ht="13.5" customHeight="1" x14ac:dyDescent="0.2"/>
    <row r="565" s="51" customFormat="1" ht="13.5" customHeight="1" x14ac:dyDescent="0.2"/>
    <row r="566" s="51" customFormat="1" ht="13.5" customHeight="1" x14ac:dyDescent="0.2"/>
    <row r="567" s="51" customFormat="1" ht="13.5" customHeight="1" x14ac:dyDescent="0.2"/>
    <row r="568" s="51" customFormat="1" ht="13.5" customHeight="1" x14ac:dyDescent="0.2"/>
    <row r="569" s="51" customFormat="1" ht="13.5" customHeight="1" x14ac:dyDescent="0.2"/>
    <row r="570" s="51" customFormat="1" ht="13.5" customHeight="1" x14ac:dyDescent="0.2"/>
    <row r="571" s="51" customFormat="1" ht="13.5" customHeight="1" x14ac:dyDescent="0.2"/>
    <row r="572" s="51" customFormat="1" ht="13.5" customHeight="1" x14ac:dyDescent="0.2"/>
    <row r="573" s="51" customFormat="1" ht="13.5" customHeight="1" x14ac:dyDescent="0.2"/>
    <row r="574" s="51" customFormat="1" ht="13.5" customHeight="1" x14ac:dyDescent="0.2"/>
    <row r="575" s="51" customFormat="1" ht="13.5" customHeight="1" x14ac:dyDescent="0.2"/>
    <row r="576" s="51" customFormat="1" ht="13.5" customHeight="1" x14ac:dyDescent="0.2"/>
    <row r="577" s="51" customFormat="1" ht="13.5" customHeight="1" x14ac:dyDescent="0.2"/>
    <row r="578" s="51" customFormat="1" ht="13.5" customHeight="1" x14ac:dyDescent="0.2"/>
    <row r="579" s="51" customFormat="1" ht="13.5" customHeight="1" x14ac:dyDescent="0.2"/>
    <row r="580" s="51" customFormat="1" ht="13.5" customHeight="1" x14ac:dyDescent="0.2"/>
    <row r="581" s="51" customFormat="1" ht="13.5" customHeight="1" x14ac:dyDescent="0.2"/>
    <row r="582" s="51" customFormat="1" ht="13.5" customHeight="1" x14ac:dyDescent="0.2"/>
    <row r="583" s="51" customFormat="1" ht="13.5" customHeight="1" x14ac:dyDescent="0.2"/>
    <row r="584" s="51" customFormat="1" ht="13.5" customHeight="1" x14ac:dyDescent="0.2"/>
    <row r="585" s="51" customFormat="1" ht="13.5" customHeight="1" x14ac:dyDescent="0.2"/>
    <row r="586" s="51" customFormat="1" ht="13.5" customHeight="1" x14ac:dyDescent="0.2"/>
    <row r="587" s="51" customFormat="1" ht="13.5" customHeight="1" x14ac:dyDescent="0.2"/>
    <row r="588" s="51" customFormat="1" ht="13.5" customHeight="1" x14ac:dyDescent="0.2"/>
    <row r="589" s="51" customFormat="1" ht="13.5" customHeight="1" x14ac:dyDescent="0.2"/>
    <row r="590" s="51" customFormat="1" ht="13.5" customHeight="1" x14ac:dyDescent="0.2"/>
    <row r="591" s="51" customFormat="1" ht="13.5" customHeight="1" x14ac:dyDescent="0.2"/>
    <row r="592" s="51" customFormat="1" ht="13.5" customHeight="1" x14ac:dyDescent="0.2"/>
    <row r="593" s="51" customFormat="1" ht="13.5" customHeight="1" x14ac:dyDescent="0.2"/>
    <row r="594" s="51" customFormat="1" ht="13.5" customHeight="1" x14ac:dyDescent="0.2"/>
    <row r="595" s="51" customFormat="1" ht="13.5" customHeight="1" x14ac:dyDescent="0.2"/>
    <row r="596" s="51" customFormat="1" ht="13.5" customHeight="1" x14ac:dyDescent="0.2"/>
    <row r="597" s="51" customFormat="1" ht="13.5" customHeight="1" x14ac:dyDescent="0.2"/>
    <row r="598" s="51" customFormat="1" ht="13.5" customHeight="1" x14ac:dyDescent="0.2"/>
    <row r="599" s="51" customFormat="1" ht="13.5" customHeight="1" x14ac:dyDescent="0.2"/>
    <row r="600" s="51" customFormat="1" ht="13.5" customHeight="1" x14ac:dyDescent="0.2"/>
    <row r="601" s="51" customFormat="1" ht="13.5" customHeight="1" x14ac:dyDescent="0.2"/>
    <row r="602" s="51" customFormat="1" ht="13.5" customHeight="1" x14ac:dyDescent="0.2"/>
    <row r="603" s="51" customFormat="1" ht="13.5" customHeight="1" x14ac:dyDescent="0.2"/>
    <row r="604" s="51" customFormat="1" ht="13.5" customHeight="1" x14ac:dyDescent="0.2"/>
    <row r="605" s="51" customFormat="1" ht="13.5" customHeight="1" x14ac:dyDescent="0.2"/>
    <row r="606" s="51" customFormat="1" ht="13.5" customHeight="1" x14ac:dyDescent="0.2"/>
    <row r="607" s="51" customFormat="1" ht="13.5" customHeight="1" x14ac:dyDescent="0.2"/>
    <row r="608" s="51" customFormat="1" ht="13.5" customHeight="1" x14ac:dyDescent="0.2"/>
    <row r="609" s="51" customFormat="1" ht="13.5" customHeight="1" x14ac:dyDescent="0.2"/>
    <row r="610" s="51" customFormat="1" ht="13.5" customHeight="1" x14ac:dyDescent="0.2"/>
    <row r="611" s="51" customFormat="1" ht="13.5" customHeight="1" x14ac:dyDescent="0.2"/>
    <row r="612" s="51" customFormat="1" ht="13.5" customHeight="1" x14ac:dyDescent="0.2"/>
    <row r="613" s="51" customFormat="1" ht="13.5" customHeight="1" x14ac:dyDescent="0.2"/>
    <row r="614" s="51" customFormat="1" ht="13.5" customHeight="1" x14ac:dyDescent="0.2"/>
    <row r="615" s="51" customFormat="1" ht="13.5" customHeight="1" x14ac:dyDescent="0.2"/>
    <row r="616" s="51" customFormat="1" ht="13.5" customHeight="1" x14ac:dyDescent="0.2"/>
    <row r="617" s="51" customFormat="1" ht="13.5" customHeight="1" x14ac:dyDescent="0.2"/>
    <row r="618" s="51" customFormat="1" ht="13.5" customHeight="1" x14ac:dyDescent="0.2"/>
    <row r="619" s="51" customFormat="1" ht="13.5" customHeight="1" x14ac:dyDescent="0.2"/>
    <row r="620" s="51" customFormat="1" ht="13.5" customHeight="1" x14ac:dyDescent="0.2"/>
    <row r="621" s="51" customFormat="1" ht="13.5" customHeight="1" x14ac:dyDescent="0.2"/>
    <row r="622" s="51" customFormat="1" ht="13.5" customHeight="1" x14ac:dyDescent="0.2"/>
    <row r="623" s="51" customFormat="1" ht="13.5" customHeight="1" x14ac:dyDescent="0.2"/>
    <row r="624" s="51" customFormat="1" ht="13.5" customHeight="1" x14ac:dyDescent="0.2"/>
    <row r="625" s="51" customFormat="1" ht="13.5" customHeight="1" x14ac:dyDescent="0.2"/>
    <row r="626" s="51" customFormat="1" ht="13.5" customHeight="1" x14ac:dyDescent="0.2"/>
    <row r="627" s="51" customFormat="1" ht="13.5" customHeight="1" x14ac:dyDescent="0.2"/>
    <row r="628" s="51" customFormat="1" ht="13.5" customHeight="1" x14ac:dyDescent="0.2"/>
    <row r="629" s="51" customFormat="1" ht="13.5" customHeight="1" x14ac:dyDescent="0.2"/>
    <row r="630" s="51" customFormat="1" ht="13.5" customHeight="1" x14ac:dyDescent="0.2"/>
    <row r="631" s="51" customFormat="1" ht="13.5" customHeight="1" x14ac:dyDescent="0.2"/>
    <row r="632" s="51" customFormat="1" ht="13.5" customHeight="1" x14ac:dyDescent="0.2"/>
    <row r="633" s="51" customFormat="1" ht="13.5" customHeight="1" x14ac:dyDescent="0.2"/>
    <row r="634" s="51" customFormat="1" ht="13.5" customHeight="1" x14ac:dyDescent="0.2"/>
    <row r="635" s="51" customFormat="1" ht="13.5" customHeight="1" x14ac:dyDescent="0.2"/>
    <row r="636" s="51" customFormat="1" ht="13.5" customHeight="1" x14ac:dyDescent="0.2"/>
    <row r="637" s="51" customFormat="1" ht="13.5" customHeight="1" x14ac:dyDescent="0.2"/>
    <row r="638" s="51" customFormat="1" ht="13.5" customHeight="1" x14ac:dyDescent="0.2"/>
    <row r="639" s="51" customFormat="1" ht="13.5" customHeight="1" x14ac:dyDescent="0.2"/>
    <row r="640" s="51" customFormat="1" ht="13.5" customHeight="1" x14ac:dyDescent="0.2"/>
    <row r="641" s="51" customFormat="1" ht="13.5" customHeight="1" x14ac:dyDescent="0.2"/>
    <row r="642" s="51" customFormat="1" ht="13.5" customHeight="1" x14ac:dyDescent="0.2"/>
    <row r="643" s="51" customFormat="1" ht="13.5" customHeight="1" x14ac:dyDescent="0.2"/>
    <row r="644" s="51" customFormat="1" ht="13.5" customHeight="1" x14ac:dyDescent="0.2"/>
    <row r="645" s="51" customFormat="1" ht="13.5" customHeight="1" x14ac:dyDescent="0.2"/>
    <row r="646" s="51" customFormat="1" ht="13.5" customHeight="1" x14ac:dyDescent="0.2"/>
    <row r="647" s="51" customFormat="1" ht="13.5" customHeight="1" x14ac:dyDescent="0.2"/>
    <row r="648" s="51" customFormat="1" ht="13.5" customHeight="1" x14ac:dyDescent="0.2"/>
    <row r="649" s="51" customFormat="1" ht="13.5" customHeight="1" x14ac:dyDescent="0.2"/>
    <row r="650" s="51" customFormat="1" ht="13.5" customHeight="1" x14ac:dyDescent="0.2"/>
    <row r="651" s="51" customFormat="1" ht="13.5" customHeight="1" x14ac:dyDescent="0.2"/>
    <row r="652" s="51" customFormat="1" ht="13.5" customHeight="1" x14ac:dyDescent="0.2"/>
    <row r="653" s="51" customFormat="1" ht="13.5" customHeight="1" x14ac:dyDescent="0.2"/>
    <row r="654" s="51" customFormat="1" ht="13.5" customHeight="1" x14ac:dyDescent="0.2"/>
    <row r="655" s="51" customFormat="1" ht="13.5" customHeight="1" x14ac:dyDescent="0.2"/>
    <row r="656" s="51" customFormat="1" ht="13.5" customHeight="1" x14ac:dyDescent="0.2"/>
    <row r="657" s="51" customFormat="1" ht="13.5" customHeight="1" x14ac:dyDescent="0.2"/>
    <row r="658" s="51" customFormat="1" ht="13.5" customHeight="1" x14ac:dyDescent="0.2"/>
    <row r="659" s="51" customFormat="1" ht="13.5" customHeight="1" x14ac:dyDescent="0.2"/>
    <row r="660" s="51" customFormat="1" ht="13.5" customHeight="1" x14ac:dyDescent="0.2"/>
    <row r="661" s="51" customFormat="1" ht="13.5" customHeight="1" x14ac:dyDescent="0.2"/>
    <row r="662" s="51" customFormat="1" ht="13.5" customHeight="1" x14ac:dyDescent="0.2"/>
    <row r="663" s="51" customFormat="1" ht="13.5" customHeight="1" x14ac:dyDescent="0.2"/>
    <row r="664" s="51" customFormat="1" ht="13.5" customHeight="1" x14ac:dyDescent="0.2"/>
    <row r="665" s="51" customFormat="1" ht="13.5" customHeight="1" x14ac:dyDescent="0.2"/>
    <row r="666" s="51" customFormat="1" ht="13.5" customHeight="1" x14ac:dyDescent="0.2"/>
    <row r="667" s="51" customFormat="1" ht="13.5" customHeight="1" x14ac:dyDescent="0.2"/>
    <row r="668" s="51" customFormat="1" ht="13.5" customHeight="1" x14ac:dyDescent="0.2"/>
    <row r="669" s="51" customFormat="1" ht="13.5" customHeight="1" x14ac:dyDescent="0.2"/>
    <row r="670" s="51" customFormat="1" ht="13.5" customHeight="1" x14ac:dyDescent="0.2"/>
    <row r="671" s="51" customFormat="1" ht="13.5" customHeight="1" x14ac:dyDescent="0.2"/>
    <row r="672" s="51" customFormat="1" ht="13.5" customHeight="1" x14ac:dyDescent="0.2"/>
    <row r="673" s="51" customFormat="1" ht="13.5" customHeight="1" x14ac:dyDescent="0.2"/>
    <row r="674" s="51" customFormat="1" ht="13.5" customHeight="1" x14ac:dyDescent="0.2"/>
    <row r="675" s="51" customFormat="1" ht="13.5" customHeight="1" x14ac:dyDescent="0.2"/>
    <row r="676" s="51" customFormat="1" ht="13.5" customHeight="1" x14ac:dyDescent="0.2"/>
    <row r="677" s="51" customFormat="1" ht="13.5" customHeight="1" x14ac:dyDescent="0.2"/>
    <row r="678" s="51" customFormat="1" ht="13.5" customHeight="1" x14ac:dyDescent="0.2"/>
    <row r="679" s="51" customFormat="1" ht="13.5" customHeight="1" x14ac:dyDescent="0.2"/>
    <row r="680" s="51" customFormat="1" ht="13.5" customHeight="1" x14ac:dyDescent="0.2"/>
    <row r="681" s="51" customFormat="1" ht="13.5" customHeight="1" x14ac:dyDescent="0.2"/>
    <row r="682" s="51" customFormat="1" ht="13.5" customHeight="1" x14ac:dyDescent="0.2"/>
    <row r="683" s="51" customFormat="1" ht="13.5" customHeight="1" x14ac:dyDescent="0.2"/>
    <row r="684" s="51" customFormat="1" ht="13.5" customHeight="1" x14ac:dyDescent="0.2"/>
    <row r="685" s="51" customFormat="1" ht="13.5" customHeight="1" x14ac:dyDescent="0.2"/>
    <row r="686" s="51" customFormat="1" ht="13.5" customHeight="1" x14ac:dyDescent="0.2"/>
    <row r="687" s="51" customFormat="1" ht="13.5" customHeight="1" x14ac:dyDescent="0.2"/>
    <row r="688" s="51" customFormat="1" ht="13.5" customHeight="1" x14ac:dyDescent="0.2"/>
    <row r="689" s="51" customFormat="1" ht="13.5" customHeight="1" x14ac:dyDescent="0.2"/>
    <row r="690" s="51" customFormat="1" ht="13.5" customHeight="1" x14ac:dyDescent="0.2"/>
    <row r="691" s="51" customFormat="1" ht="13.5" customHeight="1" x14ac:dyDescent="0.2"/>
    <row r="692" s="51" customFormat="1" ht="13.5" customHeight="1" x14ac:dyDescent="0.2"/>
    <row r="693" s="51" customFormat="1" ht="13.5" customHeight="1" x14ac:dyDescent="0.2"/>
    <row r="694" s="51" customFormat="1" ht="13.5" customHeight="1" x14ac:dyDescent="0.2"/>
    <row r="695" s="51" customFormat="1" ht="13.5" customHeight="1" x14ac:dyDescent="0.2"/>
    <row r="696" s="51" customFormat="1" ht="13.5" customHeight="1" x14ac:dyDescent="0.2"/>
    <row r="697" s="51" customFormat="1" ht="13.5" customHeight="1" x14ac:dyDescent="0.2"/>
    <row r="698" s="51" customFormat="1" ht="13.5" customHeight="1" x14ac:dyDescent="0.2"/>
    <row r="699" s="51" customFormat="1" ht="13.5" customHeight="1" x14ac:dyDescent="0.2"/>
    <row r="700" s="51" customFormat="1" ht="13.5" customHeight="1" x14ac:dyDescent="0.2"/>
    <row r="701" s="51" customFormat="1" ht="13.5" customHeight="1" x14ac:dyDescent="0.2"/>
    <row r="702" s="51" customFormat="1" ht="13.5" customHeight="1" x14ac:dyDescent="0.2"/>
    <row r="703" s="51" customFormat="1" ht="13.5" customHeight="1" x14ac:dyDescent="0.2"/>
    <row r="704" s="51" customFormat="1" ht="13.5" customHeight="1" x14ac:dyDescent="0.2"/>
    <row r="705" s="51" customFormat="1" ht="13.5" customHeight="1" x14ac:dyDescent="0.2"/>
    <row r="706" s="51" customFormat="1" ht="13.5" customHeight="1" x14ac:dyDescent="0.2"/>
    <row r="707" s="51" customFormat="1" ht="13.5" customHeight="1" x14ac:dyDescent="0.2"/>
    <row r="708" s="51" customFormat="1" ht="13.5" customHeight="1" x14ac:dyDescent="0.2"/>
    <row r="709" s="51" customFormat="1" ht="13.5" customHeight="1" x14ac:dyDescent="0.2"/>
    <row r="710" s="51" customFormat="1" ht="13.5" customHeight="1" x14ac:dyDescent="0.2"/>
    <row r="711" s="51" customFormat="1" ht="13.5" customHeight="1" x14ac:dyDescent="0.2"/>
    <row r="712" s="51" customFormat="1" ht="13.5" customHeight="1" x14ac:dyDescent="0.2"/>
    <row r="713" s="51" customFormat="1" ht="13.5" customHeight="1" x14ac:dyDescent="0.2"/>
    <row r="714" s="51" customFormat="1" ht="13.5" customHeight="1" x14ac:dyDescent="0.2"/>
    <row r="715" s="51" customFormat="1" ht="13.5" customHeight="1" x14ac:dyDescent="0.2"/>
    <row r="716" s="51" customFormat="1" ht="13.5" customHeight="1" x14ac:dyDescent="0.2"/>
    <row r="717" s="51" customFormat="1" ht="13.5" customHeight="1" x14ac:dyDescent="0.2"/>
    <row r="718" s="51" customFormat="1" ht="13.5" customHeight="1" x14ac:dyDescent="0.2"/>
    <row r="719" s="51" customFormat="1" ht="13.5" customHeight="1" x14ac:dyDescent="0.2"/>
    <row r="720" s="51" customFormat="1" ht="13.5" customHeight="1" x14ac:dyDescent="0.2"/>
    <row r="721" s="51" customFormat="1" ht="13.5" customHeight="1" x14ac:dyDescent="0.2"/>
    <row r="722" s="51" customFormat="1" ht="13.5" customHeight="1" x14ac:dyDescent="0.2"/>
    <row r="723" s="51" customFormat="1" ht="13.5" customHeight="1" x14ac:dyDescent="0.2"/>
    <row r="724" s="51" customFormat="1" ht="13.5" customHeight="1" x14ac:dyDescent="0.2"/>
    <row r="725" s="51" customFormat="1" ht="13.5" customHeight="1" x14ac:dyDescent="0.2"/>
    <row r="726" s="51" customFormat="1" ht="13.5" customHeight="1" x14ac:dyDescent="0.2"/>
    <row r="727" s="51" customFormat="1" ht="13.5" customHeight="1" x14ac:dyDescent="0.2"/>
    <row r="728" s="51" customFormat="1" ht="13.5" customHeight="1" x14ac:dyDescent="0.2"/>
    <row r="729" s="51" customFormat="1" ht="13.5" customHeight="1" x14ac:dyDescent="0.2"/>
    <row r="730" s="51" customFormat="1" ht="13.5" customHeight="1" x14ac:dyDescent="0.2"/>
    <row r="731" s="51" customFormat="1" ht="13.5" customHeight="1" x14ac:dyDescent="0.2"/>
    <row r="732" s="51" customFormat="1" ht="13.5" customHeight="1" x14ac:dyDescent="0.2"/>
    <row r="733" s="51" customFormat="1" ht="13.5" customHeight="1" x14ac:dyDescent="0.2"/>
    <row r="734" s="51" customFormat="1" ht="13.5" customHeight="1" x14ac:dyDescent="0.2"/>
    <row r="735" s="51" customFormat="1" ht="13.5" customHeight="1" x14ac:dyDescent="0.2"/>
    <row r="736" s="51" customFormat="1" ht="13.5" customHeight="1" x14ac:dyDescent="0.2"/>
    <row r="737" s="51" customFormat="1" ht="13.5" customHeight="1" x14ac:dyDescent="0.2"/>
    <row r="738" s="51" customFormat="1" ht="13.5" customHeight="1" x14ac:dyDescent="0.2"/>
    <row r="739" s="51" customFormat="1" ht="13.5" customHeight="1" x14ac:dyDescent="0.2"/>
    <row r="740" s="51" customFormat="1" ht="13.5" customHeight="1" x14ac:dyDescent="0.2"/>
    <row r="741" s="51" customFormat="1" ht="13.5" customHeight="1" x14ac:dyDescent="0.2"/>
    <row r="742" s="51" customFormat="1" ht="13.5" customHeight="1" x14ac:dyDescent="0.2"/>
    <row r="743" s="51" customFormat="1" ht="13.5" customHeight="1" x14ac:dyDescent="0.2"/>
    <row r="744" s="51" customFormat="1" ht="13.5" customHeight="1" x14ac:dyDescent="0.2"/>
    <row r="745" s="51" customFormat="1" ht="13.5" customHeight="1" x14ac:dyDescent="0.2"/>
    <row r="746" s="51" customFormat="1" ht="13.5" customHeight="1" x14ac:dyDescent="0.2"/>
    <row r="747" s="51" customFormat="1" ht="13.5" customHeight="1" x14ac:dyDescent="0.2"/>
    <row r="748" s="51" customFormat="1" ht="13.5" customHeight="1" x14ac:dyDescent="0.2"/>
    <row r="749" s="51" customFormat="1" ht="13.5" customHeight="1" x14ac:dyDescent="0.2"/>
    <row r="750" s="51" customFormat="1" ht="13.5" customHeight="1" x14ac:dyDescent="0.2"/>
    <row r="751" s="51" customFormat="1" ht="13.5" customHeight="1" x14ac:dyDescent="0.2"/>
    <row r="752" s="51" customFormat="1" ht="13.5" customHeight="1" x14ac:dyDescent="0.2"/>
    <row r="753" s="51" customFormat="1" ht="13.5" customHeight="1" x14ac:dyDescent="0.2"/>
    <row r="754" s="51" customFormat="1" ht="13.5" customHeight="1" x14ac:dyDescent="0.2"/>
    <row r="755" s="51" customFormat="1" ht="13.5" customHeight="1" x14ac:dyDescent="0.2"/>
    <row r="756" s="51" customFormat="1" ht="13.5" customHeight="1" x14ac:dyDescent="0.2"/>
    <row r="757" s="51" customFormat="1" ht="13.5" customHeight="1" x14ac:dyDescent="0.2"/>
    <row r="758" s="51" customFormat="1" ht="13.5" customHeight="1" x14ac:dyDescent="0.2"/>
    <row r="759" s="51" customFormat="1" ht="13.5" customHeight="1" x14ac:dyDescent="0.2"/>
    <row r="760" s="51" customFormat="1" ht="13.5" customHeight="1" x14ac:dyDescent="0.2"/>
    <row r="761" s="51" customFormat="1" ht="13.5" customHeight="1" x14ac:dyDescent="0.2"/>
    <row r="762" s="51" customFormat="1" ht="13.5" customHeight="1" x14ac:dyDescent="0.2"/>
    <row r="763" s="51" customFormat="1" ht="13.5" customHeight="1" x14ac:dyDescent="0.2"/>
    <row r="764" s="51" customFormat="1" ht="13.5" customHeight="1" x14ac:dyDescent="0.2"/>
    <row r="765" s="51" customFormat="1" ht="13.5" customHeight="1" x14ac:dyDescent="0.2"/>
    <row r="766" s="51" customFormat="1" ht="13.5" customHeight="1" x14ac:dyDescent="0.2"/>
    <row r="767" s="51" customFormat="1" ht="13.5" customHeight="1" x14ac:dyDescent="0.2"/>
    <row r="768" s="51" customFormat="1" ht="13.5" customHeight="1" x14ac:dyDescent="0.2"/>
    <row r="769" s="51" customFormat="1" ht="13.5" customHeight="1" x14ac:dyDescent="0.2"/>
    <row r="770" s="51" customFormat="1" ht="13.5" customHeight="1" x14ac:dyDescent="0.2"/>
    <row r="771" s="51" customFormat="1" ht="13.5" customHeight="1" x14ac:dyDescent="0.2"/>
    <row r="772" s="51" customFormat="1" ht="13.5" customHeight="1" x14ac:dyDescent="0.2"/>
    <row r="773" s="51" customFormat="1" ht="13.5" customHeight="1" x14ac:dyDescent="0.2"/>
    <row r="774" s="51" customFormat="1" ht="13.5" customHeight="1" x14ac:dyDescent="0.2"/>
    <row r="775" s="51" customFormat="1" ht="13.5" customHeight="1" x14ac:dyDescent="0.2"/>
    <row r="776" s="51" customFormat="1" ht="13.5" customHeight="1" x14ac:dyDescent="0.2"/>
    <row r="777" s="51" customFormat="1" ht="13.5" customHeight="1" x14ac:dyDescent="0.2"/>
    <row r="778" s="51" customFormat="1" ht="13.5" customHeight="1" x14ac:dyDescent="0.2"/>
    <row r="779" s="51" customFormat="1" ht="13.5" customHeight="1" x14ac:dyDescent="0.2"/>
    <row r="780" s="51" customFormat="1" ht="13.5" customHeight="1" x14ac:dyDescent="0.2"/>
    <row r="781" s="51" customFormat="1" ht="13.5" customHeight="1" x14ac:dyDescent="0.2"/>
    <row r="782" s="51" customFormat="1" ht="13.5" customHeight="1" x14ac:dyDescent="0.2"/>
    <row r="783" s="51" customFormat="1" ht="13.5" customHeight="1" x14ac:dyDescent="0.2"/>
    <row r="784" s="51" customFormat="1" ht="13.5" customHeight="1" x14ac:dyDescent="0.2"/>
    <row r="785" s="51" customFormat="1" ht="13.5" customHeight="1" x14ac:dyDescent="0.2"/>
    <row r="786" s="51" customFormat="1" ht="13.5" customHeight="1" x14ac:dyDescent="0.2"/>
    <row r="787" s="51" customFormat="1" ht="13.5" customHeight="1" x14ac:dyDescent="0.2"/>
    <row r="788" s="51" customFormat="1" ht="13.5" customHeight="1" x14ac:dyDescent="0.2"/>
    <row r="789" s="51" customFormat="1" ht="13.5" customHeight="1" x14ac:dyDescent="0.2"/>
    <row r="790" s="51" customFormat="1" ht="13.5" customHeight="1" x14ac:dyDescent="0.2"/>
    <row r="791" s="51" customFormat="1" ht="13.5" customHeight="1" x14ac:dyDescent="0.2"/>
    <row r="792" s="51" customFormat="1" ht="13.5" customHeight="1" x14ac:dyDescent="0.2"/>
    <row r="793" s="51" customFormat="1" ht="13.5" customHeight="1" x14ac:dyDescent="0.2"/>
    <row r="794" s="51" customFormat="1" ht="13.5" customHeight="1" x14ac:dyDescent="0.2"/>
    <row r="795" s="51" customFormat="1" ht="13.5" customHeight="1" x14ac:dyDescent="0.2"/>
    <row r="796" s="51" customFormat="1" ht="13.5" customHeight="1" x14ac:dyDescent="0.2"/>
    <row r="797" s="51" customFormat="1" ht="13.5" customHeight="1" x14ac:dyDescent="0.2"/>
    <row r="798" s="51" customFormat="1" ht="13.5" customHeight="1" x14ac:dyDescent="0.2"/>
    <row r="799" s="51" customFormat="1" ht="13.5" customHeight="1" x14ac:dyDescent="0.2"/>
    <row r="800" s="51" customFormat="1" ht="13.5" customHeight="1" x14ac:dyDescent="0.2"/>
    <row r="801" s="51" customFormat="1" ht="13.5" customHeight="1" x14ac:dyDescent="0.2"/>
    <row r="802" s="51" customFormat="1" ht="13.5" customHeight="1" x14ac:dyDescent="0.2"/>
    <row r="803" s="51" customFormat="1" ht="13.5" customHeight="1" x14ac:dyDescent="0.2"/>
    <row r="804" s="51" customFormat="1" ht="13.5" customHeight="1" x14ac:dyDescent="0.2"/>
    <row r="805" s="51" customFormat="1" ht="13.5" customHeight="1" x14ac:dyDescent="0.2"/>
    <row r="806" s="51" customFormat="1" ht="13.5" customHeight="1" x14ac:dyDescent="0.2"/>
    <row r="807" s="51" customFormat="1" ht="13.5" customHeight="1" x14ac:dyDescent="0.2"/>
    <row r="808" s="51" customFormat="1" ht="13.5" customHeight="1" x14ac:dyDescent="0.2"/>
    <row r="809" s="51" customFormat="1" ht="13.5" customHeight="1" x14ac:dyDescent="0.2"/>
    <row r="810" s="51" customFormat="1" ht="13.5" customHeight="1" x14ac:dyDescent="0.2"/>
    <row r="811" s="51" customFormat="1" ht="13.5" customHeight="1" x14ac:dyDescent="0.2"/>
    <row r="812" s="51" customFormat="1" ht="13.5" customHeight="1" x14ac:dyDescent="0.2"/>
    <row r="813" s="51" customFormat="1" ht="13.5" customHeight="1" x14ac:dyDescent="0.2"/>
    <row r="814" s="51" customFormat="1" ht="13.5" customHeight="1" x14ac:dyDescent="0.2"/>
    <row r="815" s="51" customFormat="1" ht="13.5" customHeight="1" x14ac:dyDescent="0.2"/>
    <row r="816" s="51" customFormat="1" ht="13.5" customHeight="1" x14ac:dyDescent="0.2"/>
    <row r="817" s="51" customFormat="1" ht="13.5" customHeight="1" x14ac:dyDescent="0.2"/>
    <row r="818" s="51" customFormat="1" ht="13.5" customHeight="1" x14ac:dyDescent="0.2"/>
    <row r="819" s="51" customFormat="1" ht="13.5" customHeight="1" x14ac:dyDescent="0.2"/>
    <row r="820" s="51" customFormat="1" ht="13.5" customHeight="1" x14ac:dyDescent="0.2"/>
    <row r="821" s="51" customFormat="1" ht="13.5" customHeight="1" x14ac:dyDescent="0.2"/>
    <row r="822" s="51" customFormat="1" ht="13.5" customHeight="1" x14ac:dyDescent="0.2"/>
    <row r="823" s="51" customFormat="1" ht="13.5" customHeight="1" x14ac:dyDescent="0.2"/>
    <row r="824" s="51" customFormat="1" ht="13.5" customHeight="1" x14ac:dyDescent="0.2"/>
    <row r="825" s="51" customFormat="1" ht="13.5" customHeight="1" x14ac:dyDescent="0.2"/>
    <row r="826" s="51" customFormat="1" ht="13.5" customHeight="1" x14ac:dyDescent="0.2"/>
    <row r="827" s="51" customFormat="1" ht="13.5" customHeight="1" x14ac:dyDescent="0.2"/>
    <row r="828" s="51" customFormat="1" ht="13.5" customHeight="1" x14ac:dyDescent="0.2"/>
    <row r="829" s="51" customFormat="1" ht="13.5" customHeight="1" x14ac:dyDescent="0.2"/>
    <row r="830" s="51" customFormat="1" ht="13.5" customHeight="1" x14ac:dyDescent="0.2"/>
    <row r="831" s="51" customFormat="1" ht="13.5" customHeight="1" x14ac:dyDescent="0.2"/>
    <row r="832" s="51" customFormat="1" ht="13.5" customHeight="1" x14ac:dyDescent="0.2"/>
    <row r="833" s="51" customFormat="1" ht="13.5" customHeight="1" x14ac:dyDescent="0.2"/>
    <row r="834" s="51" customFormat="1" ht="13.5" customHeight="1" x14ac:dyDescent="0.2"/>
    <row r="835" s="51" customFormat="1" ht="13.5" customHeight="1" x14ac:dyDescent="0.2"/>
    <row r="836" s="51" customFormat="1" ht="13.5" customHeight="1" x14ac:dyDescent="0.2"/>
    <row r="837" s="51" customFormat="1" ht="13.5" customHeight="1" x14ac:dyDescent="0.2"/>
    <row r="838" s="51" customFormat="1" ht="13.5" customHeight="1" x14ac:dyDescent="0.2"/>
    <row r="839" s="51" customFormat="1" ht="13.5" customHeight="1" x14ac:dyDescent="0.2"/>
    <row r="840" s="51" customFormat="1" ht="13.5" customHeight="1" x14ac:dyDescent="0.2"/>
    <row r="841" s="51" customFormat="1" ht="13.5" customHeight="1" x14ac:dyDescent="0.2"/>
    <row r="842" s="51" customFormat="1" ht="13.5" customHeight="1" x14ac:dyDescent="0.2"/>
    <row r="843" s="51" customFormat="1" ht="13.5" customHeight="1" x14ac:dyDescent="0.2"/>
    <row r="844" s="51" customFormat="1" ht="13.5" customHeight="1" x14ac:dyDescent="0.2"/>
    <row r="845" s="51" customFormat="1" ht="13.5" customHeight="1" x14ac:dyDescent="0.2"/>
    <row r="846" s="51" customFormat="1" ht="13.5" customHeight="1" x14ac:dyDescent="0.2"/>
    <row r="847" s="51" customFormat="1" ht="13.5" customHeight="1" x14ac:dyDescent="0.2"/>
    <row r="848" s="51" customFormat="1" ht="13.5" customHeight="1" x14ac:dyDescent="0.2"/>
    <row r="849" s="51" customFormat="1" ht="13.5" customHeight="1" x14ac:dyDescent="0.2"/>
    <row r="850" s="51" customFormat="1" ht="13.5" customHeight="1" x14ac:dyDescent="0.2"/>
    <row r="851" s="51" customFormat="1" ht="13.5" customHeight="1" x14ac:dyDescent="0.2"/>
    <row r="852" s="51" customFormat="1" ht="13.5" customHeight="1" x14ac:dyDescent="0.2"/>
    <row r="853" s="51" customFormat="1" ht="13.5" customHeight="1" x14ac:dyDescent="0.2"/>
    <row r="854" s="51" customFormat="1" ht="13.5" customHeight="1" x14ac:dyDescent="0.2"/>
    <row r="855" s="51" customFormat="1" ht="13.5" customHeight="1" x14ac:dyDescent="0.2"/>
    <row r="856" s="51" customFormat="1" ht="13.5" customHeight="1" x14ac:dyDescent="0.2"/>
    <row r="857" s="51" customFormat="1" ht="13.5" customHeight="1" x14ac:dyDescent="0.2"/>
    <row r="858" s="51" customFormat="1" ht="13.5" customHeight="1" x14ac:dyDescent="0.2"/>
    <row r="859" s="51" customFormat="1" ht="13.5" customHeight="1" x14ac:dyDescent="0.2"/>
    <row r="860" s="51" customFormat="1" ht="13.5" customHeight="1" x14ac:dyDescent="0.2"/>
    <row r="861" s="51" customFormat="1" ht="13.5" customHeight="1" x14ac:dyDescent="0.2"/>
    <row r="862" s="51" customFormat="1" ht="13.5" customHeight="1" x14ac:dyDescent="0.2"/>
    <row r="863" s="51" customFormat="1" ht="13.5" customHeight="1" x14ac:dyDescent="0.2"/>
    <row r="864" s="51" customFormat="1" ht="13.5" customHeight="1" x14ac:dyDescent="0.2"/>
    <row r="865" s="51" customFormat="1" ht="13.5" customHeight="1" x14ac:dyDescent="0.2"/>
    <row r="866" s="51" customFormat="1" ht="13.5" customHeight="1" x14ac:dyDescent="0.2"/>
    <row r="867" s="51" customFormat="1" ht="13.5" customHeight="1" x14ac:dyDescent="0.2"/>
    <row r="868" s="51" customFormat="1" ht="13.5" customHeight="1" x14ac:dyDescent="0.2"/>
    <row r="869" s="51" customFormat="1" ht="13.5" customHeight="1" x14ac:dyDescent="0.2"/>
    <row r="870" s="51" customFormat="1" ht="13.5" customHeight="1" x14ac:dyDescent="0.2"/>
    <row r="871" s="51" customFormat="1" ht="13.5" customHeight="1" x14ac:dyDescent="0.2"/>
    <row r="872" s="51" customFormat="1" ht="13.5" customHeight="1" x14ac:dyDescent="0.2"/>
    <row r="873" s="51" customFormat="1" ht="13.5" customHeight="1" x14ac:dyDescent="0.2"/>
    <row r="874" s="51" customFormat="1" ht="13.5" customHeight="1" x14ac:dyDescent="0.2"/>
    <row r="875" s="51" customFormat="1" ht="13.5" customHeight="1" x14ac:dyDescent="0.2"/>
    <row r="876" s="51" customFormat="1" ht="13.5" customHeight="1" x14ac:dyDescent="0.2"/>
    <row r="877" s="51" customFormat="1" ht="13.5" customHeight="1" x14ac:dyDescent="0.2"/>
    <row r="878" s="51" customFormat="1" ht="13.5" customHeight="1" x14ac:dyDescent="0.2"/>
    <row r="879" s="51" customFormat="1" ht="13.5" customHeight="1" x14ac:dyDescent="0.2"/>
    <row r="880" s="51" customFormat="1" ht="13.5" customHeight="1" x14ac:dyDescent="0.2"/>
    <row r="881" s="51" customFormat="1" ht="13.5" customHeight="1" x14ac:dyDescent="0.2"/>
    <row r="882" s="51" customFormat="1" ht="13.5" customHeight="1" x14ac:dyDescent="0.2"/>
    <row r="883" s="51" customFormat="1" ht="13.5" customHeight="1" x14ac:dyDescent="0.2"/>
    <row r="884" s="51" customFormat="1" ht="13.5" customHeight="1" x14ac:dyDescent="0.2"/>
    <row r="885" s="51" customFormat="1" ht="13.5" customHeight="1" x14ac:dyDescent="0.2"/>
    <row r="886" s="51" customFormat="1" ht="13.5" customHeight="1" x14ac:dyDescent="0.2"/>
    <row r="887" s="51" customFormat="1" ht="13.5" customHeight="1" x14ac:dyDescent="0.2"/>
    <row r="888" s="51" customFormat="1" ht="13.5" customHeight="1" x14ac:dyDescent="0.2"/>
    <row r="889" s="51" customFormat="1" ht="13.5" customHeight="1" x14ac:dyDescent="0.2"/>
    <row r="890" s="51" customFormat="1" ht="13.5" customHeight="1" x14ac:dyDescent="0.2"/>
    <row r="891" s="51" customFormat="1" ht="13.5" customHeight="1" x14ac:dyDescent="0.2"/>
    <row r="892" s="51" customFormat="1" ht="13.5" customHeight="1" x14ac:dyDescent="0.2"/>
    <row r="893" s="51" customFormat="1" ht="13.5" customHeight="1" x14ac:dyDescent="0.2"/>
    <row r="894" s="51" customFormat="1" ht="13.5" customHeight="1" x14ac:dyDescent="0.2"/>
    <row r="895" s="51" customFormat="1" ht="13.5" customHeight="1" x14ac:dyDescent="0.2"/>
    <row r="896" s="51" customFormat="1" ht="13.5" customHeight="1" x14ac:dyDescent="0.2"/>
    <row r="897" s="51" customFormat="1" ht="13.5" customHeight="1" x14ac:dyDescent="0.2"/>
    <row r="898" s="51" customFormat="1" ht="13.5" customHeight="1" x14ac:dyDescent="0.2"/>
    <row r="899" s="51" customFormat="1" ht="13.5" customHeight="1" x14ac:dyDescent="0.2"/>
    <row r="900" s="51" customFormat="1" ht="13.5" customHeight="1" x14ac:dyDescent="0.2"/>
    <row r="901" s="51" customFormat="1" ht="13.5" customHeight="1" x14ac:dyDescent="0.2"/>
    <row r="902" s="51" customFormat="1" ht="13.5" customHeight="1" x14ac:dyDescent="0.2"/>
    <row r="903" s="51" customFormat="1" ht="13.5" customHeight="1" x14ac:dyDescent="0.2"/>
    <row r="904" s="51" customFormat="1" ht="13.5" customHeight="1" x14ac:dyDescent="0.2"/>
    <row r="905" s="51" customFormat="1" ht="13.5" customHeight="1" x14ac:dyDescent="0.2"/>
    <row r="906" s="51" customFormat="1" ht="13.5" customHeight="1" x14ac:dyDescent="0.2"/>
    <row r="907" s="51" customFormat="1" ht="13.5" customHeight="1" x14ac:dyDescent="0.2"/>
    <row r="908" s="51" customFormat="1" ht="13.5" customHeight="1" x14ac:dyDescent="0.2"/>
    <row r="909" s="51" customFormat="1" ht="13.5" customHeight="1" x14ac:dyDescent="0.2"/>
    <row r="910" s="51" customFormat="1" ht="13.5" customHeight="1" x14ac:dyDescent="0.2"/>
    <row r="911" s="51" customFormat="1" ht="13.5" customHeight="1" x14ac:dyDescent="0.2"/>
    <row r="912" s="51" customFormat="1" ht="13.5" customHeight="1" x14ac:dyDescent="0.2"/>
    <row r="913" s="51" customFormat="1" ht="13.5" customHeight="1" x14ac:dyDescent="0.2"/>
    <row r="914" s="51" customFormat="1" ht="13.5" customHeight="1" x14ac:dyDescent="0.2"/>
    <row r="915" s="51" customFormat="1" ht="13.5" customHeight="1" x14ac:dyDescent="0.2"/>
    <row r="916" s="51" customFormat="1" ht="13.5" customHeight="1" x14ac:dyDescent="0.2"/>
    <row r="917" s="51" customFormat="1" ht="13.5" customHeight="1" x14ac:dyDescent="0.2"/>
    <row r="918" s="51" customFormat="1" ht="13.5" customHeight="1" x14ac:dyDescent="0.2"/>
    <row r="919" s="51" customFormat="1" ht="13.5" customHeight="1" x14ac:dyDescent="0.2"/>
    <row r="920" s="51" customFormat="1" ht="13.5" customHeight="1" x14ac:dyDescent="0.2"/>
    <row r="921" s="51" customFormat="1" ht="13.5" customHeight="1" x14ac:dyDescent="0.2"/>
    <row r="922" s="51" customFormat="1" ht="13.5" customHeight="1" x14ac:dyDescent="0.2"/>
    <row r="923" s="51" customFormat="1" ht="13.5" customHeight="1" x14ac:dyDescent="0.2"/>
    <row r="924" s="51" customFormat="1" ht="13.5" customHeight="1" x14ac:dyDescent="0.2"/>
    <row r="925" s="51" customFormat="1" ht="13.5" customHeight="1" x14ac:dyDescent="0.2"/>
    <row r="926" s="51" customFormat="1" ht="13.5" customHeight="1" x14ac:dyDescent="0.2"/>
    <row r="927" s="51" customFormat="1" ht="13.5" customHeight="1" x14ac:dyDescent="0.2"/>
    <row r="928" s="51" customFormat="1" ht="13.5" customHeight="1" x14ac:dyDescent="0.2"/>
    <row r="929" s="51" customFormat="1" ht="13.5" customHeight="1" x14ac:dyDescent="0.2"/>
    <row r="930" s="51" customFormat="1" ht="13.5" customHeight="1" x14ac:dyDescent="0.2"/>
    <row r="931" s="51" customFormat="1" ht="13.5" customHeight="1" x14ac:dyDescent="0.2"/>
    <row r="932" s="51" customFormat="1" ht="13.5" customHeight="1" x14ac:dyDescent="0.2"/>
    <row r="933" s="51" customFormat="1" ht="13.5" customHeight="1" x14ac:dyDescent="0.2"/>
    <row r="934" s="51" customFormat="1" ht="13.5" customHeight="1" x14ac:dyDescent="0.2"/>
    <row r="935" s="51" customFormat="1" ht="13.5" customHeight="1" x14ac:dyDescent="0.2"/>
    <row r="936" s="51" customFormat="1" ht="13.5" customHeight="1" x14ac:dyDescent="0.2"/>
    <row r="937" s="51" customFormat="1" ht="13.5" customHeight="1" x14ac:dyDescent="0.2"/>
    <row r="938" s="51" customFormat="1" ht="13.5" customHeight="1" x14ac:dyDescent="0.2"/>
    <row r="939" s="51" customFormat="1" ht="13.5" customHeight="1" x14ac:dyDescent="0.2"/>
    <row r="940" s="51" customFormat="1" ht="13.5" customHeight="1" x14ac:dyDescent="0.2"/>
    <row r="941" s="51" customFormat="1" ht="13.5" customHeight="1" x14ac:dyDescent="0.2"/>
    <row r="942" s="51" customFormat="1" ht="13.5" customHeight="1" x14ac:dyDescent="0.2"/>
    <row r="943" s="51" customFormat="1" ht="13.5" customHeight="1" x14ac:dyDescent="0.2"/>
    <row r="944" s="51" customFormat="1" ht="13.5" customHeight="1" x14ac:dyDescent="0.2"/>
    <row r="945" s="51" customFormat="1" ht="13.5" customHeight="1" x14ac:dyDescent="0.2"/>
    <row r="946" s="51" customFormat="1" ht="13.5" customHeight="1" x14ac:dyDescent="0.2"/>
    <row r="947" s="51" customFormat="1" ht="13.5" customHeight="1" x14ac:dyDescent="0.2"/>
    <row r="948" s="51" customFormat="1" ht="13.5" customHeight="1" x14ac:dyDescent="0.2"/>
    <row r="949" s="51" customFormat="1" ht="13.5" customHeight="1" x14ac:dyDescent="0.2"/>
    <row r="950" s="51" customFormat="1" ht="13.5" customHeight="1" x14ac:dyDescent="0.2"/>
    <row r="951" s="51" customFormat="1" ht="13.5" customHeight="1" x14ac:dyDescent="0.2"/>
    <row r="952" s="51" customFormat="1" ht="13.5" customHeight="1" x14ac:dyDescent="0.2"/>
    <row r="953" s="51" customFormat="1" ht="13.5" customHeight="1" x14ac:dyDescent="0.2"/>
    <row r="954" s="51" customFormat="1" ht="13.5" customHeight="1" x14ac:dyDescent="0.2"/>
    <row r="955" s="51" customFormat="1" ht="13.5" customHeight="1" x14ac:dyDescent="0.2"/>
    <row r="956" s="51" customFormat="1" ht="13.5" customHeight="1" x14ac:dyDescent="0.2"/>
    <row r="957" s="51" customFormat="1" ht="13.5" customHeight="1" x14ac:dyDescent="0.2"/>
    <row r="958" s="51" customFormat="1" ht="13.5" customHeight="1" x14ac:dyDescent="0.2"/>
    <row r="959" s="51" customFormat="1" ht="13.5" customHeight="1" x14ac:dyDescent="0.2"/>
    <row r="960" s="51" customFormat="1" ht="13.5" customHeight="1" x14ac:dyDescent="0.2"/>
    <row r="961" s="51" customFormat="1" ht="13.5" customHeight="1" x14ac:dyDescent="0.2"/>
    <row r="962" s="51" customFormat="1" ht="13.5" customHeight="1" x14ac:dyDescent="0.2"/>
    <row r="963" s="51" customFormat="1" ht="13.5" customHeight="1" x14ac:dyDescent="0.2"/>
    <row r="964" s="51" customFormat="1" ht="13.5" customHeight="1" x14ac:dyDescent="0.2"/>
    <row r="965" s="51" customFormat="1" ht="13.5" customHeight="1" x14ac:dyDescent="0.2"/>
    <row r="966" s="51" customFormat="1" ht="13.5" customHeight="1" x14ac:dyDescent="0.2"/>
    <row r="967" s="51" customFormat="1" ht="13.5" customHeight="1" x14ac:dyDescent="0.2"/>
    <row r="968" s="51" customFormat="1" ht="13.5" customHeight="1" x14ac:dyDescent="0.2"/>
    <row r="969" s="51" customFormat="1" ht="13.5" customHeight="1" x14ac:dyDescent="0.2"/>
    <row r="970" s="51" customFormat="1" ht="13.5" customHeight="1" x14ac:dyDescent="0.2"/>
    <row r="971" s="51" customFormat="1" ht="13.5" customHeight="1" x14ac:dyDescent="0.2"/>
    <row r="972" s="51" customFormat="1" ht="13.5" customHeight="1" x14ac:dyDescent="0.2"/>
    <row r="973" s="51" customFormat="1" ht="13.5" customHeight="1" x14ac:dyDescent="0.2"/>
    <row r="974" s="51" customFormat="1" ht="13.5" customHeight="1" x14ac:dyDescent="0.2"/>
    <row r="975" s="51" customFormat="1" ht="13.5" customHeight="1" x14ac:dyDescent="0.2"/>
    <row r="976" s="51" customFormat="1" ht="13.5" customHeight="1" x14ac:dyDescent="0.2"/>
    <row r="977" s="51" customFormat="1" ht="13.5" customHeight="1" x14ac:dyDescent="0.2"/>
    <row r="978" s="51" customFormat="1" ht="13.5" customHeight="1" x14ac:dyDescent="0.2"/>
    <row r="979" s="51" customFormat="1" ht="13.5" customHeight="1" x14ac:dyDescent="0.2"/>
    <row r="980" s="51" customFormat="1" ht="13.5" customHeight="1" x14ac:dyDescent="0.2"/>
    <row r="981" s="51" customFormat="1" ht="13.5" customHeight="1" x14ac:dyDescent="0.2"/>
    <row r="982" s="51" customFormat="1" ht="13.5" customHeight="1" x14ac:dyDescent="0.2"/>
    <row r="983" s="51" customFormat="1" ht="13.5" customHeight="1" x14ac:dyDescent="0.2"/>
    <row r="984" s="51" customFormat="1" ht="13.5" customHeight="1" x14ac:dyDescent="0.2"/>
    <row r="985" s="51" customFormat="1" ht="13.5" customHeight="1" x14ac:dyDescent="0.2"/>
    <row r="986" s="51" customFormat="1" ht="13.5" customHeight="1" x14ac:dyDescent="0.2"/>
    <row r="987" s="51" customFormat="1" ht="13.5" customHeight="1" x14ac:dyDescent="0.2"/>
    <row r="988" s="51" customFormat="1" ht="13.5" customHeight="1" x14ac:dyDescent="0.2"/>
    <row r="989" s="51" customFormat="1" ht="13.5" customHeight="1" x14ac:dyDescent="0.2"/>
    <row r="990" s="51" customFormat="1" ht="13.5" customHeight="1" x14ac:dyDescent="0.2"/>
    <row r="991" s="51" customFormat="1" ht="13.5" customHeight="1" x14ac:dyDescent="0.2"/>
    <row r="992" s="51" customFormat="1" ht="13.5" customHeight="1" x14ac:dyDescent="0.2"/>
    <row r="993" s="51" customFormat="1" ht="13.5" customHeight="1" x14ac:dyDescent="0.2"/>
    <row r="994" s="51" customFormat="1" ht="13.5" customHeight="1" x14ac:dyDescent="0.2"/>
    <row r="995" s="51" customFormat="1" ht="13.5" customHeight="1" x14ac:dyDescent="0.2"/>
    <row r="996" s="51" customFormat="1" ht="13.5" customHeight="1" x14ac:dyDescent="0.2"/>
    <row r="997" s="51" customFormat="1" ht="13.5" customHeight="1" x14ac:dyDescent="0.2"/>
    <row r="998" s="51" customFormat="1" ht="13.5" customHeight="1" x14ac:dyDescent="0.2"/>
    <row r="999" s="51" customFormat="1" ht="13.5" customHeight="1" x14ac:dyDescent="0.2"/>
  </sheetData>
  <mergeCells count="1">
    <mergeCell ref="B2:O3"/>
  </mergeCells>
  <conditionalFormatting sqref="C6">
    <cfRule type="containsText" dxfId="10" priority="1" operator="containsText" text="PASS">
      <formula>NOT(ISERROR(SEARCH(("PASS"),(C6))))</formula>
    </cfRule>
    <cfRule type="containsText" dxfId="9" priority="2" operator="containsText" text="FAIL">
      <formula>NOT(ISERROR(SEARCH(("FAIL"),(C6))))</formula>
    </cfRule>
    <cfRule type="containsText" dxfId="8" priority="3" operator="containsText" text="WATCH">
      <formula>NOT(ISERROR(SEARCH(("WATCH"),(C6))))</formula>
    </cfRule>
  </conditionalFormatting>
  <conditionalFormatting sqref="O16:O22">
    <cfRule type="containsText" dxfId="7" priority="4" operator="containsText" text="PASS">
      <formula>NOT(ISERROR(SEARCH(("PASS"),(O16))))</formula>
    </cfRule>
    <cfRule type="containsText" dxfId="6" priority="5" operator="containsText" text="FAIL">
      <formula>NOT(ISERROR(SEARCH(("FAIL"),(O16))))</formula>
    </cfRule>
    <cfRule type="containsText" dxfId="5" priority="6" operator="containsText" text="WATCH">
      <formula>NOT(ISERROR(SEARCH(("WATCH"),(O16))))</formula>
    </cfRule>
  </conditionalFormatting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263238"/>
  </sheetPr>
  <dimension ref="B2:O1001"/>
  <sheetViews>
    <sheetView showGridLines="0" workbookViewId="0">
      <selection activeCell="B23" sqref="B23:N23"/>
    </sheetView>
  </sheetViews>
  <sheetFormatPr baseColWidth="10" defaultColWidth="12.6640625" defaultRowHeight="15" customHeight="1" x14ac:dyDescent="0.2"/>
  <cols>
    <col min="1" max="1" width="3.33203125" style="51" customWidth="1"/>
    <col min="2" max="2" width="3" style="51" customWidth="1"/>
    <col min="3" max="3" width="12" style="51" customWidth="1"/>
    <col min="4" max="4" width="3" style="51" customWidth="1"/>
    <col min="5" max="9" width="18" style="51" customWidth="1"/>
    <col min="10" max="27" width="8.83203125" style="51" customWidth="1"/>
    <col min="28" max="16384" width="12.6640625" style="51"/>
  </cols>
  <sheetData>
    <row r="2" spans="2:15" ht="13.5" customHeight="1" x14ac:dyDescent="0.2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2:15" ht="13.5" customHeight="1" x14ac:dyDescent="0.2">
      <c r="B3" s="36"/>
      <c r="C3" s="57" t="s">
        <v>330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9"/>
    </row>
    <row r="4" spans="2:15" ht="13.5" customHeight="1" x14ac:dyDescent="0.2">
      <c r="B4" s="36"/>
      <c r="C4" s="60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2"/>
    </row>
    <row r="5" spans="2:15" ht="13.5" customHeight="1" x14ac:dyDescent="0.2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2:15" ht="13.5" customHeight="1" x14ac:dyDescent="0.2">
      <c r="B6" s="36"/>
      <c r="C6" s="37" t="s">
        <v>58</v>
      </c>
      <c r="D6" s="36"/>
      <c r="E6" s="73" t="s">
        <v>331</v>
      </c>
      <c r="F6" s="67"/>
      <c r="G6" s="67"/>
      <c r="H6" s="67"/>
      <c r="I6" s="68"/>
      <c r="J6" s="36"/>
      <c r="K6" s="36"/>
      <c r="L6" s="36"/>
      <c r="M6" s="36"/>
      <c r="N6" s="36"/>
      <c r="O6" s="36"/>
    </row>
    <row r="7" spans="2:15" ht="13.5" customHeight="1" x14ac:dyDescent="0.2">
      <c r="B7" s="36"/>
      <c r="C7" s="37" t="s">
        <v>59</v>
      </c>
      <c r="D7" s="36"/>
      <c r="E7" s="73" t="s">
        <v>332</v>
      </c>
      <c r="F7" s="67"/>
      <c r="G7" s="67"/>
      <c r="H7" s="67"/>
      <c r="I7" s="68"/>
      <c r="J7" s="36"/>
      <c r="K7" s="36"/>
      <c r="L7" s="36"/>
      <c r="M7" s="36"/>
      <c r="N7" s="36"/>
      <c r="O7" s="36"/>
    </row>
    <row r="8" spans="2:15" ht="13.5" customHeight="1" x14ac:dyDescent="0.2">
      <c r="B8" s="36"/>
      <c r="C8" s="37" t="s">
        <v>60</v>
      </c>
      <c r="D8" s="36"/>
      <c r="E8" s="73" t="s">
        <v>333</v>
      </c>
      <c r="F8" s="67"/>
      <c r="G8" s="67"/>
      <c r="H8" s="67"/>
      <c r="I8" s="68"/>
      <c r="J8" s="36"/>
      <c r="K8" s="36"/>
      <c r="L8" s="36"/>
      <c r="M8" s="36"/>
      <c r="N8" s="36"/>
      <c r="O8" s="36"/>
    </row>
    <row r="9" spans="2:15" ht="13.5" customHeight="1" x14ac:dyDescent="0.2"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2:15" ht="13.5" customHeight="1" x14ac:dyDescent="0.2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2:15" ht="13.5" customHeight="1" x14ac:dyDescent="0.2"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2:15" ht="13.5" customHeight="1" x14ac:dyDescent="0.2"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</row>
    <row r="13" spans="2:15" ht="13.5" customHeight="1" x14ac:dyDescent="0.2"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</row>
    <row r="14" spans="2:15" ht="13.5" customHeight="1" x14ac:dyDescent="0.2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</row>
    <row r="15" spans="2:15" ht="13.5" customHeigh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</row>
    <row r="16" spans="2:15" ht="13.5" customHeight="1" x14ac:dyDescent="0.2"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7" spans="2:15" ht="13.5" customHeight="1" x14ac:dyDescent="0.2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18" spans="2:15" ht="13.5" customHeigh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2:15" ht="13.5" customHeight="1" x14ac:dyDescent="0.2"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pans="2:15" ht="13.5" customHeight="1" x14ac:dyDescent="0.2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1" spans="2:15" ht="13.5" customHeight="1" x14ac:dyDescent="0.2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2:15" ht="13.5" customHeight="1" x14ac:dyDescent="0.2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</row>
    <row r="23" spans="2:15" ht="13.5" customHeight="1" x14ac:dyDescent="0.2"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</row>
    <row r="24" spans="2:15" ht="13.5" customHeight="1" x14ac:dyDescent="0.2"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</row>
    <row r="25" spans="2:15" ht="13.5" customHeight="1" x14ac:dyDescent="0.2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2:15" ht="13.5" customHeight="1" x14ac:dyDescent="0.2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</row>
    <row r="27" spans="2:15" ht="13.5" customHeight="1" x14ac:dyDescent="0.2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</row>
    <row r="28" spans="2:15" ht="13.5" customHeight="1" x14ac:dyDescent="0.2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</row>
    <row r="29" spans="2:15" ht="13.5" customHeight="1" x14ac:dyDescent="0.2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</row>
    <row r="30" spans="2:15" ht="13.5" customHeight="1" x14ac:dyDescent="0.2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</row>
    <row r="31" spans="2:15" ht="13.5" customHeight="1" x14ac:dyDescent="0.2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2" spans="2:15" ht="13.5" customHeight="1" x14ac:dyDescent="0.2"/>
    <row r="33" s="51" customFormat="1" ht="13.5" customHeight="1" x14ac:dyDescent="0.2"/>
    <row r="34" s="51" customFormat="1" ht="13.5" customHeight="1" x14ac:dyDescent="0.2"/>
    <row r="35" s="51" customFormat="1" ht="13.5" customHeight="1" x14ac:dyDescent="0.2"/>
    <row r="36" s="51" customFormat="1" ht="13.5" customHeight="1" x14ac:dyDescent="0.2"/>
    <row r="37" s="51" customFormat="1" ht="13.5" customHeight="1" x14ac:dyDescent="0.2"/>
    <row r="38" s="51" customFormat="1" ht="13.5" customHeight="1" x14ac:dyDescent="0.2"/>
    <row r="39" s="51" customFormat="1" ht="13.5" customHeight="1" x14ac:dyDescent="0.2"/>
    <row r="40" s="51" customFormat="1" ht="13.5" customHeight="1" x14ac:dyDescent="0.2"/>
    <row r="41" s="51" customFormat="1" ht="13.5" customHeight="1" x14ac:dyDescent="0.2"/>
    <row r="42" s="51" customFormat="1" ht="13.5" customHeight="1" x14ac:dyDescent="0.2"/>
    <row r="43" s="51" customFormat="1" ht="13.5" customHeight="1" x14ac:dyDescent="0.2"/>
    <row r="44" s="51" customFormat="1" ht="13.5" customHeight="1" x14ac:dyDescent="0.2"/>
    <row r="45" s="51" customFormat="1" ht="13.5" customHeight="1" x14ac:dyDescent="0.2"/>
    <row r="46" s="51" customFormat="1" ht="13.5" customHeight="1" x14ac:dyDescent="0.2"/>
    <row r="47" s="51" customFormat="1" ht="13.5" customHeight="1" x14ac:dyDescent="0.2"/>
    <row r="48" s="51" customFormat="1" ht="13.5" customHeight="1" x14ac:dyDescent="0.2"/>
    <row r="49" s="51" customFormat="1" ht="13.5" customHeight="1" x14ac:dyDescent="0.2"/>
    <row r="50" s="51" customFormat="1" ht="13.5" customHeight="1" x14ac:dyDescent="0.2"/>
    <row r="51" s="51" customFormat="1" ht="13.5" customHeight="1" x14ac:dyDescent="0.2"/>
    <row r="52" s="51" customFormat="1" ht="13.5" customHeight="1" x14ac:dyDescent="0.2"/>
    <row r="53" s="51" customFormat="1" ht="13.5" customHeight="1" x14ac:dyDescent="0.2"/>
    <row r="54" s="51" customFormat="1" ht="13.5" customHeight="1" x14ac:dyDescent="0.2"/>
    <row r="55" s="51" customFormat="1" ht="13.5" customHeight="1" x14ac:dyDescent="0.2"/>
    <row r="56" s="51" customFormat="1" ht="13.5" customHeight="1" x14ac:dyDescent="0.2"/>
    <row r="57" s="51" customFormat="1" ht="13.5" customHeight="1" x14ac:dyDescent="0.2"/>
    <row r="58" s="51" customFormat="1" ht="13.5" customHeight="1" x14ac:dyDescent="0.2"/>
    <row r="59" s="51" customFormat="1" ht="13.5" customHeight="1" x14ac:dyDescent="0.2"/>
    <row r="60" s="51" customFormat="1" ht="13.5" customHeight="1" x14ac:dyDescent="0.2"/>
    <row r="61" s="51" customFormat="1" ht="13.5" customHeight="1" x14ac:dyDescent="0.2"/>
    <row r="62" s="51" customFormat="1" ht="13.5" customHeight="1" x14ac:dyDescent="0.2"/>
    <row r="63" s="51" customFormat="1" ht="13.5" customHeight="1" x14ac:dyDescent="0.2"/>
    <row r="64" s="51" customFormat="1" ht="13.5" customHeight="1" x14ac:dyDescent="0.2"/>
    <row r="65" s="51" customFormat="1" ht="13.5" customHeight="1" x14ac:dyDescent="0.2"/>
    <row r="66" s="51" customFormat="1" ht="13.5" customHeight="1" x14ac:dyDescent="0.2"/>
    <row r="67" s="51" customFormat="1" ht="13.5" customHeight="1" x14ac:dyDescent="0.2"/>
    <row r="68" s="51" customFormat="1" ht="13.5" customHeight="1" x14ac:dyDescent="0.2"/>
    <row r="69" s="51" customFormat="1" ht="13.5" customHeight="1" x14ac:dyDescent="0.2"/>
    <row r="70" s="51" customFormat="1" ht="13.5" customHeight="1" x14ac:dyDescent="0.2"/>
    <row r="71" s="51" customFormat="1" ht="13.5" customHeight="1" x14ac:dyDescent="0.2"/>
    <row r="72" s="51" customFormat="1" ht="13.5" customHeight="1" x14ac:dyDescent="0.2"/>
    <row r="73" s="51" customFormat="1" ht="13.5" customHeight="1" x14ac:dyDescent="0.2"/>
    <row r="74" s="51" customFormat="1" ht="13.5" customHeight="1" x14ac:dyDescent="0.2"/>
    <row r="75" s="51" customFormat="1" ht="13.5" customHeight="1" x14ac:dyDescent="0.2"/>
    <row r="76" s="51" customFormat="1" ht="13.5" customHeight="1" x14ac:dyDescent="0.2"/>
    <row r="77" s="51" customFormat="1" ht="13.5" customHeight="1" x14ac:dyDescent="0.2"/>
    <row r="78" s="51" customFormat="1" ht="13.5" customHeight="1" x14ac:dyDescent="0.2"/>
    <row r="79" s="51" customFormat="1" ht="13.5" customHeight="1" x14ac:dyDescent="0.2"/>
    <row r="80" s="51" customFormat="1" ht="13.5" customHeight="1" x14ac:dyDescent="0.2"/>
    <row r="81" s="51" customFormat="1" ht="13.5" customHeight="1" x14ac:dyDescent="0.2"/>
    <row r="82" s="51" customFormat="1" ht="13.5" customHeight="1" x14ac:dyDescent="0.2"/>
    <row r="83" s="51" customFormat="1" ht="13.5" customHeight="1" x14ac:dyDescent="0.2"/>
    <row r="84" s="51" customFormat="1" ht="13.5" customHeight="1" x14ac:dyDescent="0.2"/>
    <row r="85" s="51" customFormat="1" ht="13.5" customHeight="1" x14ac:dyDescent="0.2"/>
    <row r="86" s="51" customFormat="1" ht="13.5" customHeight="1" x14ac:dyDescent="0.2"/>
    <row r="87" s="51" customFormat="1" ht="13.5" customHeight="1" x14ac:dyDescent="0.2"/>
    <row r="88" s="51" customFormat="1" ht="13.5" customHeight="1" x14ac:dyDescent="0.2"/>
    <row r="89" s="51" customFormat="1" ht="13.5" customHeight="1" x14ac:dyDescent="0.2"/>
    <row r="90" s="51" customFormat="1" ht="13.5" customHeight="1" x14ac:dyDescent="0.2"/>
    <row r="91" s="51" customFormat="1" ht="13.5" customHeight="1" x14ac:dyDescent="0.2"/>
    <row r="92" s="51" customFormat="1" ht="13.5" customHeight="1" x14ac:dyDescent="0.2"/>
    <row r="93" s="51" customFormat="1" ht="13.5" customHeight="1" x14ac:dyDescent="0.2"/>
    <row r="94" s="51" customFormat="1" ht="13.5" customHeight="1" x14ac:dyDescent="0.2"/>
    <row r="95" s="51" customFormat="1" ht="13.5" customHeight="1" x14ac:dyDescent="0.2"/>
    <row r="96" s="51" customFormat="1" ht="13.5" customHeight="1" x14ac:dyDescent="0.2"/>
    <row r="97" s="51" customFormat="1" ht="13.5" customHeight="1" x14ac:dyDescent="0.2"/>
    <row r="98" s="51" customFormat="1" ht="13.5" customHeight="1" x14ac:dyDescent="0.2"/>
    <row r="99" s="51" customFormat="1" ht="13.5" customHeight="1" x14ac:dyDescent="0.2"/>
    <row r="100" s="51" customFormat="1" ht="13.5" customHeight="1" x14ac:dyDescent="0.2"/>
    <row r="101" s="51" customFormat="1" ht="13.5" customHeight="1" x14ac:dyDescent="0.2"/>
    <row r="102" s="51" customFormat="1" ht="13.5" customHeight="1" x14ac:dyDescent="0.2"/>
    <row r="103" s="51" customFormat="1" ht="13.5" customHeight="1" x14ac:dyDescent="0.2"/>
    <row r="104" s="51" customFormat="1" ht="13.5" customHeight="1" x14ac:dyDescent="0.2"/>
    <row r="105" s="51" customFormat="1" ht="13.5" customHeight="1" x14ac:dyDescent="0.2"/>
    <row r="106" s="51" customFormat="1" ht="13.5" customHeight="1" x14ac:dyDescent="0.2"/>
    <row r="107" s="51" customFormat="1" ht="13.5" customHeight="1" x14ac:dyDescent="0.2"/>
    <row r="108" s="51" customFormat="1" ht="13.5" customHeight="1" x14ac:dyDescent="0.2"/>
    <row r="109" s="51" customFormat="1" ht="13.5" customHeight="1" x14ac:dyDescent="0.2"/>
    <row r="110" s="51" customFormat="1" ht="13.5" customHeight="1" x14ac:dyDescent="0.2"/>
    <row r="111" s="51" customFormat="1" ht="13.5" customHeight="1" x14ac:dyDescent="0.2"/>
    <row r="112" s="51" customFormat="1" ht="13.5" customHeight="1" x14ac:dyDescent="0.2"/>
    <row r="113" s="51" customFormat="1" ht="13.5" customHeight="1" x14ac:dyDescent="0.2"/>
    <row r="114" s="51" customFormat="1" ht="13.5" customHeight="1" x14ac:dyDescent="0.2"/>
    <row r="115" s="51" customFormat="1" ht="13.5" customHeight="1" x14ac:dyDescent="0.2"/>
    <row r="116" s="51" customFormat="1" ht="13.5" customHeight="1" x14ac:dyDescent="0.2"/>
    <row r="117" s="51" customFormat="1" ht="13.5" customHeight="1" x14ac:dyDescent="0.2"/>
    <row r="118" s="51" customFormat="1" ht="13.5" customHeight="1" x14ac:dyDescent="0.2"/>
    <row r="119" s="51" customFormat="1" ht="13.5" customHeight="1" x14ac:dyDescent="0.2"/>
    <row r="120" s="51" customFormat="1" ht="13.5" customHeight="1" x14ac:dyDescent="0.2"/>
    <row r="121" s="51" customFormat="1" ht="13.5" customHeight="1" x14ac:dyDescent="0.2"/>
    <row r="122" s="51" customFormat="1" ht="13.5" customHeight="1" x14ac:dyDescent="0.2"/>
    <row r="123" s="51" customFormat="1" ht="13.5" customHeight="1" x14ac:dyDescent="0.2"/>
    <row r="124" s="51" customFormat="1" ht="13.5" customHeight="1" x14ac:dyDescent="0.2"/>
    <row r="125" s="51" customFormat="1" ht="13.5" customHeight="1" x14ac:dyDescent="0.2"/>
    <row r="126" s="51" customFormat="1" ht="13.5" customHeight="1" x14ac:dyDescent="0.2"/>
    <row r="127" s="51" customFormat="1" ht="13.5" customHeight="1" x14ac:dyDescent="0.2"/>
    <row r="128" s="51" customFormat="1" ht="13.5" customHeight="1" x14ac:dyDescent="0.2"/>
    <row r="129" s="51" customFormat="1" ht="13.5" customHeight="1" x14ac:dyDescent="0.2"/>
    <row r="130" s="51" customFormat="1" ht="13.5" customHeight="1" x14ac:dyDescent="0.2"/>
    <row r="131" s="51" customFormat="1" ht="13.5" customHeight="1" x14ac:dyDescent="0.2"/>
    <row r="132" s="51" customFormat="1" ht="13.5" customHeight="1" x14ac:dyDescent="0.2"/>
    <row r="133" s="51" customFormat="1" ht="13.5" customHeight="1" x14ac:dyDescent="0.2"/>
    <row r="134" s="51" customFormat="1" ht="13.5" customHeight="1" x14ac:dyDescent="0.2"/>
    <row r="135" s="51" customFormat="1" ht="13.5" customHeight="1" x14ac:dyDescent="0.2"/>
    <row r="136" s="51" customFormat="1" ht="13.5" customHeight="1" x14ac:dyDescent="0.2"/>
    <row r="137" s="51" customFormat="1" ht="13.5" customHeight="1" x14ac:dyDescent="0.2"/>
    <row r="138" s="51" customFormat="1" ht="13.5" customHeight="1" x14ac:dyDescent="0.2"/>
    <row r="139" s="51" customFormat="1" ht="13.5" customHeight="1" x14ac:dyDescent="0.2"/>
    <row r="140" s="51" customFormat="1" ht="13.5" customHeight="1" x14ac:dyDescent="0.2"/>
    <row r="141" s="51" customFormat="1" ht="13.5" customHeight="1" x14ac:dyDescent="0.2"/>
    <row r="142" s="51" customFormat="1" ht="13.5" customHeight="1" x14ac:dyDescent="0.2"/>
    <row r="143" s="51" customFormat="1" ht="13.5" customHeight="1" x14ac:dyDescent="0.2"/>
    <row r="144" s="51" customFormat="1" ht="13.5" customHeight="1" x14ac:dyDescent="0.2"/>
    <row r="145" s="51" customFormat="1" ht="13.5" customHeight="1" x14ac:dyDescent="0.2"/>
    <row r="146" s="51" customFormat="1" ht="13.5" customHeight="1" x14ac:dyDescent="0.2"/>
    <row r="147" s="51" customFormat="1" ht="13.5" customHeight="1" x14ac:dyDescent="0.2"/>
    <row r="148" s="51" customFormat="1" ht="13.5" customHeight="1" x14ac:dyDescent="0.2"/>
    <row r="149" s="51" customFormat="1" ht="13.5" customHeight="1" x14ac:dyDescent="0.2"/>
    <row r="150" s="51" customFormat="1" ht="13.5" customHeight="1" x14ac:dyDescent="0.2"/>
    <row r="151" s="51" customFormat="1" ht="13.5" customHeight="1" x14ac:dyDescent="0.2"/>
    <row r="152" s="51" customFormat="1" ht="13.5" customHeight="1" x14ac:dyDescent="0.2"/>
    <row r="153" s="51" customFormat="1" ht="13.5" customHeight="1" x14ac:dyDescent="0.2"/>
    <row r="154" s="51" customFormat="1" ht="13.5" customHeight="1" x14ac:dyDescent="0.2"/>
    <row r="155" s="51" customFormat="1" ht="13.5" customHeight="1" x14ac:dyDescent="0.2"/>
    <row r="156" s="51" customFormat="1" ht="13.5" customHeight="1" x14ac:dyDescent="0.2"/>
    <row r="157" s="51" customFormat="1" ht="13.5" customHeight="1" x14ac:dyDescent="0.2"/>
    <row r="158" s="51" customFormat="1" ht="13.5" customHeight="1" x14ac:dyDescent="0.2"/>
    <row r="159" s="51" customFormat="1" ht="13.5" customHeight="1" x14ac:dyDescent="0.2"/>
    <row r="160" s="51" customFormat="1" ht="13.5" customHeight="1" x14ac:dyDescent="0.2"/>
    <row r="161" s="51" customFormat="1" ht="13.5" customHeight="1" x14ac:dyDescent="0.2"/>
    <row r="162" s="51" customFormat="1" ht="13.5" customHeight="1" x14ac:dyDescent="0.2"/>
    <row r="163" s="51" customFormat="1" ht="13.5" customHeight="1" x14ac:dyDescent="0.2"/>
    <row r="164" s="51" customFormat="1" ht="13.5" customHeight="1" x14ac:dyDescent="0.2"/>
    <row r="165" s="51" customFormat="1" ht="13.5" customHeight="1" x14ac:dyDescent="0.2"/>
    <row r="166" s="51" customFormat="1" ht="13.5" customHeight="1" x14ac:dyDescent="0.2"/>
    <row r="167" s="51" customFormat="1" ht="13.5" customHeight="1" x14ac:dyDescent="0.2"/>
    <row r="168" s="51" customFormat="1" ht="13.5" customHeight="1" x14ac:dyDescent="0.2"/>
    <row r="169" s="51" customFormat="1" ht="13.5" customHeight="1" x14ac:dyDescent="0.2"/>
    <row r="170" s="51" customFormat="1" ht="13.5" customHeight="1" x14ac:dyDescent="0.2"/>
    <row r="171" s="51" customFormat="1" ht="13.5" customHeight="1" x14ac:dyDescent="0.2"/>
    <row r="172" s="51" customFormat="1" ht="13.5" customHeight="1" x14ac:dyDescent="0.2"/>
    <row r="173" s="51" customFormat="1" ht="13.5" customHeight="1" x14ac:dyDescent="0.2"/>
    <row r="174" s="51" customFormat="1" ht="13.5" customHeight="1" x14ac:dyDescent="0.2"/>
    <row r="175" s="51" customFormat="1" ht="13.5" customHeight="1" x14ac:dyDescent="0.2"/>
    <row r="176" s="51" customFormat="1" ht="13.5" customHeight="1" x14ac:dyDescent="0.2"/>
    <row r="177" s="51" customFormat="1" ht="13.5" customHeight="1" x14ac:dyDescent="0.2"/>
    <row r="178" s="51" customFormat="1" ht="13.5" customHeight="1" x14ac:dyDescent="0.2"/>
    <row r="179" s="51" customFormat="1" ht="13.5" customHeight="1" x14ac:dyDescent="0.2"/>
    <row r="180" s="51" customFormat="1" ht="13.5" customHeight="1" x14ac:dyDescent="0.2"/>
    <row r="181" s="51" customFormat="1" ht="13.5" customHeight="1" x14ac:dyDescent="0.2"/>
    <row r="182" s="51" customFormat="1" ht="13.5" customHeight="1" x14ac:dyDescent="0.2"/>
    <row r="183" s="51" customFormat="1" ht="13.5" customHeight="1" x14ac:dyDescent="0.2"/>
    <row r="184" s="51" customFormat="1" ht="13.5" customHeight="1" x14ac:dyDescent="0.2"/>
    <row r="185" s="51" customFormat="1" ht="13.5" customHeight="1" x14ac:dyDescent="0.2"/>
    <row r="186" s="51" customFormat="1" ht="13.5" customHeight="1" x14ac:dyDescent="0.2"/>
    <row r="187" s="51" customFormat="1" ht="13.5" customHeight="1" x14ac:dyDescent="0.2"/>
    <row r="188" s="51" customFormat="1" ht="13.5" customHeight="1" x14ac:dyDescent="0.2"/>
    <row r="189" s="51" customFormat="1" ht="13.5" customHeight="1" x14ac:dyDescent="0.2"/>
    <row r="190" s="51" customFormat="1" ht="13.5" customHeight="1" x14ac:dyDescent="0.2"/>
    <row r="191" s="51" customFormat="1" ht="13.5" customHeight="1" x14ac:dyDescent="0.2"/>
    <row r="192" s="51" customFormat="1" ht="13.5" customHeight="1" x14ac:dyDescent="0.2"/>
    <row r="193" s="51" customFormat="1" ht="13.5" customHeight="1" x14ac:dyDescent="0.2"/>
    <row r="194" s="51" customFormat="1" ht="13.5" customHeight="1" x14ac:dyDescent="0.2"/>
    <row r="195" s="51" customFormat="1" ht="13.5" customHeight="1" x14ac:dyDescent="0.2"/>
    <row r="196" s="51" customFormat="1" ht="13.5" customHeight="1" x14ac:dyDescent="0.2"/>
    <row r="197" s="51" customFormat="1" ht="13.5" customHeight="1" x14ac:dyDescent="0.2"/>
    <row r="198" s="51" customFormat="1" ht="13.5" customHeight="1" x14ac:dyDescent="0.2"/>
    <row r="199" s="51" customFormat="1" ht="13.5" customHeight="1" x14ac:dyDescent="0.2"/>
    <row r="200" s="51" customFormat="1" ht="13.5" customHeight="1" x14ac:dyDescent="0.2"/>
    <row r="201" s="51" customFormat="1" ht="13.5" customHeight="1" x14ac:dyDescent="0.2"/>
    <row r="202" s="51" customFormat="1" ht="13.5" customHeight="1" x14ac:dyDescent="0.2"/>
    <row r="203" s="51" customFormat="1" ht="13.5" customHeight="1" x14ac:dyDescent="0.2"/>
    <row r="204" s="51" customFormat="1" ht="13.5" customHeight="1" x14ac:dyDescent="0.2"/>
    <row r="205" s="51" customFormat="1" ht="13.5" customHeight="1" x14ac:dyDescent="0.2"/>
    <row r="206" s="51" customFormat="1" ht="13.5" customHeight="1" x14ac:dyDescent="0.2"/>
    <row r="207" s="51" customFormat="1" ht="13.5" customHeight="1" x14ac:dyDescent="0.2"/>
    <row r="208" s="51" customFormat="1" ht="13.5" customHeight="1" x14ac:dyDescent="0.2"/>
    <row r="209" s="51" customFormat="1" ht="13.5" customHeight="1" x14ac:dyDescent="0.2"/>
    <row r="210" s="51" customFormat="1" ht="13.5" customHeight="1" x14ac:dyDescent="0.2"/>
    <row r="211" s="51" customFormat="1" ht="13.5" customHeight="1" x14ac:dyDescent="0.2"/>
    <row r="212" s="51" customFormat="1" ht="13.5" customHeight="1" x14ac:dyDescent="0.2"/>
    <row r="213" s="51" customFormat="1" ht="13.5" customHeight="1" x14ac:dyDescent="0.2"/>
    <row r="214" s="51" customFormat="1" ht="13.5" customHeight="1" x14ac:dyDescent="0.2"/>
    <row r="215" s="51" customFormat="1" ht="13.5" customHeight="1" x14ac:dyDescent="0.2"/>
    <row r="216" s="51" customFormat="1" ht="13.5" customHeight="1" x14ac:dyDescent="0.2"/>
    <row r="217" s="51" customFormat="1" ht="13.5" customHeight="1" x14ac:dyDescent="0.2"/>
    <row r="218" s="51" customFormat="1" ht="13.5" customHeight="1" x14ac:dyDescent="0.2"/>
    <row r="219" s="51" customFormat="1" ht="13.5" customHeight="1" x14ac:dyDescent="0.2"/>
    <row r="220" s="51" customFormat="1" ht="13.5" customHeight="1" x14ac:dyDescent="0.2"/>
    <row r="221" s="51" customFormat="1" ht="13.5" customHeight="1" x14ac:dyDescent="0.2"/>
    <row r="222" s="51" customFormat="1" ht="13.5" customHeight="1" x14ac:dyDescent="0.2"/>
    <row r="223" s="51" customFormat="1" ht="13.5" customHeight="1" x14ac:dyDescent="0.2"/>
    <row r="224" s="51" customFormat="1" ht="13.5" customHeight="1" x14ac:dyDescent="0.2"/>
    <row r="225" s="51" customFormat="1" ht="13.5" customHeight="1" x14ac:dyDescent="0.2"/>
    <row r="226" s="51" customFormat="1" ht="13.5" customHeight="1" x14ac:dyDescent="0.2"/>
    <row r="227" s="51" customFormat="1" ht="13.5" customHeight="1" x14ac:dyDescent="0.2"/>
    <row r="228" s="51" customFormat="1" ht="13.5" customHeight="1" x14ac:dyDescent="0.2"/>
    <row r="229" s="51" customFormat="1" ht="13.5" customHeight="1" x14ac:dyDescent="0.2"/>
    <row r="230" s="51" customFormat="1" ht="13.5" customHeight="1" x14ac:dyDescent="0.2"/>
    <row r="231" s="51" customFormat="1" ht="13.5" customHeight="1" x14ac:dyDescent="0.2"/>
    <row r="232" s="51" customFormat="1" ht="13.5" customHeight="1" x14ac:dyDescent="0.2"/>
    <row r="233" s="51" customFormat="1" ht="13.5" customHeight="1" x14ac:dyDescent="0.2"/>
    <row r="234" s="51" customFormat="1" ht="13.5" customHeight="1" x14ac:dyDescent="0.2"/>
    <row r="235" s="51" customFormat="1" ht="13.5" customHeight="1" x14ac:dyDescent="0.2"/>
    <row r="236" s="51" customFormat="1" ht="13.5" customHeight="1" x14ac:dyDescent="0.2"/>
    <row r="237" s="51" customFormat="1" ht="13.5" customHeight="1" x14ac:dyDescent="0.2"/>
    <row r="238" s="51" customFormat="1" ht="13.5" customHeight="1" x14ac:dyDescent="0.2"/>
    <row r="239" s="51" customFormat="1" ht="13.5" customHeight="1" x14ac:dyDescent="0.2"/>
    <row r="240" s="51" customFormat="1" ht="13.5" customHeight="1" x14ac:dyDescent="0.2"/>
    <row r="241" s="51" customFormat="1" ht="13.5" customHeight="1" x14ac:dyDescent="0.2"/>
    <row r="242" s="51" customFormat="1" ht="13.5" customHeight="1" x14ac:dyDescent="0.2"/>
    <row r="243" s="51" customFormat="1" ht="13.5" customHeight="1" x14ac:dyDescent="0.2"/>
    <row r="244" s="51" customFormat="1" ht="13.5" customHeight="1" x14ac:dyDescent="0.2"/>
    <row r="245" s="51" customFormat="1" ht="13.5" customHeight="1" x14ac:dyDescent="0.2"/>
    <row r="246" s="51" customFormat="1" ht="13.5" customHeight="1" x14ac:dyDescent="0.2"/>
    <row r="247" s="51" customFormat="1" ht="13.5" customHeight="1" x14ac:dyDescent="0.2"/>
    <row r="248" s="51" customFormat="1" ht="13.5" customHeight="1" x14ac:dyDescent="0.2"/>
    <row r="249" s="51" customFormat="1" ht="13.5" customHeight="1" x14ac:dyDescent="0.2"/>
    <row r="250" s="51" customFormat="1" ht="13.5" customHeight="1" x14ac:dyDescent="0.2"/>
    <row r="251" s="51" customFormat="1" ht="13.5" customHeight="1" x14ac:dyDescent="0.2"/>
    <row r="252" s="51" customFormat="1" ht="13.5" customHeight="1" x14ac:dyDescent="0.2"/>
    <row r="253" s="51" customFormat="1" ht="13.5" customHeight="1" x14ac:dyDescent="0.2"/>
    <row r="254" s="51" customFormat="1" ht="13.5" customHeight="1" x14ac:dyDescent="0.2"/>
    <row r="255" s="51" customFormat="1" ht="13.5" customHeight="1" x14ac:dyDescent="0.2"/>
    <row r="256" s="51" customFormat="1" ht="13.5" customHeight="1" x14ac:dyDescent="0.2"/>
    <row r="257" s="51" customFormat="1" ht="13.5" customHeight="1" x14ac:dyDescent="0.2"/>
    <row r="258" s="51" customFormat="1" ht="13.5" customHeight="1" x14ac:dyDescent="0.2"/>
    <row r="259" s="51" customFormat="1" ht="13.5" customHeight="1" x14ac:dyDescent="0.2"/>
    <row r="260" s="51" customFormat="1" ht="13.5" customHeight="1" x14ac:dyDescent="0.2"/>
    <row r="261" s="51" customFormat="1" ht="13.5" customHeight="1" x14ac:dyDescent="0.2"/>
    <row r="262" s="51" customFormat="1" ht="13.5" customHeight="1" x14ac:dyDescent="0.2"/>
    <row r="263" s="51" customFormat="1" ht="13.5" customHeight="1" x14ac:dyDescent="0.2"/>
    <row r="264" s="51" customFormat="1" ht="13.5" customHeight="1" x14ac:dyDescent="0.2"/>
    <row r="265" s="51" customFormat="1" ht="13.5" customHeight="1" x14ac:dyDescent="0.2"/>
    <row r="266" s="51" customFormat="1" ht="13.5" customHeight="1" x14ac:dyDescent="0.2"/>
    <row r="267" s="51" customFormat="1" ht="13.5" customHeight="1" x14ac:dyDescent="0.2"/>
    <row r="268" s="51" customFormat="1" ht="13.5" customHeight="1" x14ac:dyDescent="0.2"/>
    <row r="269" s="51" customFormat="1" ht="13.5" customHeight="1" x14ac:dyDescent="0.2"/>
    <row r="270" s="51" customFormat="1" ht="13.5" customHeight="1" x14ac:dyDescent="0.2"/>
    <row r="271" s="51" customFormat="1" ht="13.5" customHeight="1" x14ac:dyDescent="0.2"/>
    <row r="272" s="51" customFormat="1" ht="13.5" customHeight="1" x14ac:dyDescent="0.2"/>
    <row r="273" s="51" customFormat="1" ht="13.5" customHeight="1" x14ac:dyDescent="0.2"/>
    <row r="274" s="51" customFormat="1" ht="13.5" customHeight="1" x14ac:dyDescent="0.2"/>
    <row r="275" s="51" customFormat="1" ht="13.5" customHeight="1" x14ac:dyDescent="0.2"/>
    <row r="276" s="51" customFormat="1" ht="13.5" customHeight="1" x14ac:dyDescent="0.2"/>
    <row r="277" s="51" customFormat="1" ht="13.5" customHeight="1" x14ac:dyDescent="0.2"/>
    <row r="278" s="51" customFormat="1" ht="13.5" customHeight="1" x14ac:dyDescent="0.2"/>
    <row r="279" s="51" customFormat="1" ht="13.5" customHeight="1" x14ac:dyDescent="0.2"/>
    <row r="280" s="51" customFormat="1" ht="13.5" customHeight="1" x14ac:dyDescent="0.2"/>
    <row r="281" s="51" customFormat="1" ht="13.5" customHeight="1" x14ac:dyDescent="0.2"/>
    <row r="282" s="51" customFormat="1" ht="13.5" customHeight="1" x14ac:dyDescent="0.2"/>
    <row r="283" s="51" customFormat="1" ht="13.5" customHeight="1" x14ac:dyDescent="0.2"/>
    <row r="284" s="51" customFormat="1" ht="13.5" customHeight="1" x14ac:dyDescent="0.2"/>
    <row r="285" s="51" customFormat="1" ht="13.5" customHeight="1" x14ac:dyDescent="0.2"/>
    <row r="286" s="51" customFormat="1" ht="13.5" customHeight="1" x14ac:dyDescent="0.2"/>
    <row r="287" s="51" customFormat="1" ht="13.5" customHeight="1" x14ac:dyDescent="0.2"/>
    <row r="288" s="51" customFormat="1" ht="13.5" customHeight="1" x14ac:dyDescent="0.2"/>
    <row r="289" s="51" customFormat="1" ht="13.5" customHeight="1" x14ac:dyDescent="0.2"/>
    <row r="290" s="51" customFormat="1" ht="13.5" customHeight="1" x14ac:dyDescent="0.2"/>
    <row r="291" s="51" customFormat="1" ht="13.5" customHeight="1" x14ac:dyDescent="0.2"/>
    <row r="292" s="51" customFormat="1" ht="13.5" customHeight="1" x14ac:dyDescent="0.2"/>
    <row r="293" s="51" customFormat="1" ht="13.5" customHeight="1" x14ac:dyDescent="0.2"/>
    <row r="294" s="51" customFormat="1" ht="13.5" customHeight="1" x14ac:dyDescent="0.2"/>
    <row r="295" s="51" customFormat="1" ht="13.5" customHeight="1" x14ac:dyDescent="0.2"/>
    <row r="296" s="51" customFormat="1" ht="13.5" customHeight="1" x14ac:dyDescent="0.2"/>
    <row r="297" s="51" customFormat="1" ht="13.5" customHeight="1" x14ac:dyDescent="0.2"/>
    <row r="298" s="51" customFormat="1" ht="13.5" customHeight="1" x14ac:dyDescent="0.2"/>
    <row r="299" s="51" customFormat="1" ht="13.5" customHeight="1" x14ac:dyDescent="0.2"/>
    <row r="300" s="51" customFormat="1" ht="13.5" customHeight="1" x14ac:dyDescent="0.2"/>
    <row r="301" s="51" customFormat="1" ht="13.5" customHeight="1" x14ac:dyDescent="0.2"/>
    <row r="302" s="51" customFormat="1" ht="13.5" customHeight="1" x14ac:dyDescent="0.2"/>
    <row r="303" s="51" customFormat="1" ht="13.5" customHeight="1" x14ac:dyDescent="0.2"/>
    <row r="304" s="51" customFormat="1" ht="13.5" customHeight="1" x14ac:dyDescent="0.2"/>
    <row r="305" s="51" customFormat="1" ht="13.5" customHeight="1" x14ac:dyDescent="0.2"/>
    <row r="306" s="51" customFormat="1" ht="13.5" customHeight="1" x14ac:dyDescent="0.2"/>
    <row r="307" s="51" customFormat="1" ht="13.5" customHeight="1" x14ac:dyDescent="0.2"/>
    <row r="308" s="51" customFormat="1" ht="13.5" customHeight="1" x14ac:dyDescent="0.2"/>
    <row r="309" s="51" customFormat="1" ht="13.5" customHeight="1" x14ac:dyDescent="0.2"/>
    <row r="310" s="51" customFormat="1" ht="13.5" customHeight="1" x14ac:dyDescent="0.2"/>
    <row r="311" s="51" customFormat="1" ht="13.5" customHeight="1" x14ac:dyDescent="0.2"/>
    <row r="312" s="51" customFormat="1" ht="13.5" customHeight="1" x14ac:dyDescent="0.2"/>
    <row r="313" s="51" customFormat="1" ht="13.5" customHeight="1" x14ac:dyDescent="0.2"/>
    <row r="314" s="51" customFormat="1" ht="13.5" customHeight="1" x14ac:dyDescent="0.2"/>
    <row r="315" s="51" customFormat="1" ht="13.5" customHeight="1" x14ac:dyDescent="0.2"/>
    <row r="316" s="51" customFormat="1" ht="13.5" customHeight="1" x14ac:dyDescent="0.2"/>
    <row r="317" s="51" customFormat="1" ht="13.5" customHeight="1" x14ac:dyDescent="0.2"/>
    <row r="318" s="51" customFormat="1" ht="13.5" customHeight="1" x14ac:dyDescent="0.2"/>
    <row r="319" s="51" customFormat="1" ht="13.5" customHeight="1" x14ac:dyDescent="0.2"/>
    <row r="320" s="51" customFormat="1" ht="13.5" customHeight="1" x14ac:dyDescent="0.2"/>
    <row r="321" s="51" customFormat="1" ht="13.5" customHeight="1" x14ac:dyDescent="0.2"/>
    <row r="322" s="51" customFormat="1" ht="13.5" customHeight="1" x14ac:dyDescent="0.2"/>
    <row r="323" s="51" customFormat="1" ht="13.5" customHeight="1" x14ac:dyDescent="0.2"/>
    <row r="324" s="51" customFormat="1" ht="13.5" customHeight="1" x14ac:dyDescent="0.2"/>
    <row r="325" s="51" customFormat="1" ht="13.5" customHeight="1" x14ac:dyDescent="0.2"/>
    <row r="326" s="51" customFormat="1" ht="13.5" customHeight="1" x14ac:dyDescent="0.2"/>
    <row r="327" s="51" customFormat="1" ht="13.5" customHeight="1" x14ac:dyDescent="0.2"/>
    <row r="328" s="51" customFormat="1" ht="13.5" customHeight="1" x14ac:dyDescent="0.2"/>
    <row r="329" s="51" customFormat="1" ht="13.5" customHeight="1" x14ac:dyDescent="0.2"/>
    <row r="330" s="51" customFormat="1" ht="13.5" customHeight="1" x14ac:dyDescent="0.2"/>
    <row r="331" s="51" customFormat="1" ht="13.5" customHeight="1" x14ac:dyDescent="0.2"/>
    <row r="332" s="51" customFormat="1" ht="13.5" customHeight="1" x14ac:dyDescent="0.2"/>
    <row r="333" s="51" customFormat="1" ht="13.5" customHeight="1" x14ac:dyDescent="0.2"/>
    <row r="334" s="51" customFormat="1" ht="13.5" customHeight="1" x14ac:dyDescent="0.2"/>
    <row r="335" s="51" customFormat="1" ht="13.5" customHeight="1" x14ac:dyDescent="0.2"/>
    <row r="336" s="51" customFormat="1" ht="13.5" customHeight="1" x14ac:dyDescent="0.2"/>
    <row r="337" s="51" customFormat="1" ht="13.5" customHeight="1" x14ac:dyDescent="0.2"/>
    <row r="338" s="51" customFormat="1" ht="13.5" customHeight="1" x14ac:dyDescent="0.2"/>
    <row r="339" s="51" customFormat="1" ht="13.5" customHeight="1" x14ac:dyDescent="0.2"/>
    <row r="340" s="51" customFormat="1" ht="13.5" customHeight="1" x14ac:dyDescent="0.2"/>
    <row r="341" s="51" customFormat="1" ht="13.5" customHeight="1" x14ac:dyDescent="0.2"/>
    <row r="342" s="51" customFormat="1" ht="13.5" customHeight="1" x14ac:dyDescent="0.2"/>
    <row r="343" s="51" customFormat="1" ht="13.5" customHeight="1" x14ac:dyDescent="0.2"/>
    <row r="344" s="51" customFormat="1" ht="13.5" customHeight="1" x14ac:dyDescent="0.2"/>
    <row r="345" s="51" customFormat="1" ht="13.5" customHeight="1" x14ac:dyDescent="0.2"/>
    <row r="346" s="51" customFormat="1" ht="13.5" customHeight="1" x14ac:dyDescent="0.2"/>
    <row r="347" s="51" customFormat="1" ht="13.5" customHeight="1" x14ac:dyDescent="0.2"/>
    <row r="348" s="51" customFormat="1" ht="13.5" customHeight="1" x14ac:dyDescent="0.2"/>
    <row r="349" s="51" customFormat="1" ht="13.5" customHeight="1" x14ac:dyDescent="0.2"/>
    <row r="350" s="51" customFormat="1" ht="13.5" customHeight="1" x14ac:dyDescent="0.2"/>
    <row r="351" s="51" customFormat="1" ht="13.5" customHeight="1" x14ac:dyDescent="0.2"/>
    <row r="352" s="51" customFormat="1" ht="13.5" customHeight="1" x14ac:dyDescent="0.2"/>
    <row r="353" s="51" customFormat="1" ht="13.5" customHeight="1" x14ac:dyDescent="0.2"/>
    <row r="354" s="51" customFormat="1" ht="13.5" customHeight="1" x14ac:dyDescent="0.2"/>
    <row r="355" s="51" customFormat="1" ht="13.5" customHeight="1" x14ac:dyDescent="0.2"/>
    <row r="356" s="51" customFormat="1" ht="13.5" customHeight="1" x14ac:dyDescent="0.2"/>
    <row r="357" s="51" customFormat="1" ht="13.5" customHeight="1" x14ac:dyDescent="0.2"/>
    <row r="358" s="51" customFormat="1" ht="13.5" customHeight="1" x14ac:dyDescent="0.2"/>
    <row r="359" s="51" customFormat="1" ht="13.5" customHeight="1" x14ac:dyDescent="0.2"/>
    <row r="360" s="51" customFormat="1" ht="13.5" customHeight="1" x14ac:dyDescent="0.2"/>
    <row r="361" s="51" customFormat="1" ht="13.5" customHeight="1" x14ac:dyDescent="0.2"/>
    <row r="362" s="51" customFormat="1" ht="13.5" customHeight="1" x14ac:dyDescent="0.2"/>
    <row r="363" s="51" customFormat="1" ht="13.5" customHeight="1" x14ac:dyDescent="0.2"/>
    <row r="364" s="51" customFormat="1" ht="13.5" customHeight="1" x14ac:dyDescent="0.2"/>
    <row r="365" s="51" customFormat="1" ht="13.5" customHeight="1" x14ac:dyDescent="0.2"/>
    <row r="366" s="51" customFormat="1" ht="13.5" customHeight="1" x14ac:dyDescent="0.2"/>
    <row r="367" s="51" customFormat="1" ht="13.5" customHeight="1" x14ac:dyDescent="0.2"/>
    <row r="368" s="51" customFormat="1" ht="13.5" customHeight="1" x14ac:dyDescent="0.2"/>
    <row r="369" s="51" customFormat="1" ht="13.5" customHeight="1" x14ac:dyDescent="0.2"/>
    <row r="370" s="51" customFormat="1" ht="13.5" customHeight="1" x14ac:dyDescent="0.2"/>
    <row r="371" s="51" customFormat="1" ht="13.5" customHeight="1" x14ac:dyDescent="0.2"/>
    <row r="372" s="51" customFormat="1" ht="13.5" customHeight="1" x14ac:dyDescent="0.2"/>
    <row r="373" s="51" customFormat="1" ht="13.5" customHeight="1" x14ac:dyDescent="0.2"/>
    <row r="374" s="51" customFormat="1" ht="13.5" customHeight="1" x14ac:dyDescent="0.2"/>
    <row r="375" s="51" customFormat="1" ht="13.5" customHeight="1" x14ac:dyDescent="0.2"/>
    <row r="376" s="51" customFormat="1" ht="13.5" customHeight="1" x14ac:dyDescent="0.2"/>
    <row r="377" s="51" customFormat="1" ht="13.5" customHeight="1" x14ac:dyDescent="0.2"/>
    <row r="378" s="51" customFormat="1" ht="13.5" customHeight="1" x14ac:dyDescent="0.2"/>
    <row r="379" s="51" customFormat="1" ht="13.5" customHeight="1" x14ac:dyDescent="0.2"/>
    <row r="380" s="51" customFormat="1" ht="13.5" customHeight="1" x14ac:dyDescent="0.2"/>
    <row r="381" s="51" customFormat="1" ht="13.5" customHeight="1" x14ac:dyDescent="0.2"/>
    <row r="382" s="51" customFormat="1" ht="13.5" customHeight="1" x14ac:dyDescent="0.2"/>
    <row r="383" s="51" customFormat="1" ht="13.5" customHeight="1" x14ac:dyDescent="0.2"/>
    <row r="384" s="51" customFormat="1" ht="13.5" customHeight="1" x14ac:dyDescent="0.2"/>
    <row r="385" s="51" customFormat="1" ht="13.5" customHeight="1" x14ac:dyDescent="0.2"/>
    <row r="386" s="51" customFormat="1" ht="13.5" customHeight="1" x14ac:dyDescent="0.2"/>
    <row r="387" s="51" customFormat="1" ht="13.5" customHeight="1" x14ac:dyDescent="0.2"/>
    <row r="388" s="51" customFormat="1" ht="13.5" customHeight="1" x14ac:dyDescent="0.2"/>
    <row r="389" s="51" customFormat="1" ht="13.5" customHeight="1" x14ac:dyDescent="0.2"/>
    <row r="390" s="51" customFormat="1" ht="13.5" customHeight="1" x14ac:dyDescent="0.2"/>
    <row r="391" s="51" customFormat="1" ht="13.5" customHeight="1" x14ac:dyDescent="0.2"/>
    <row r="392" s="51" customFormat="1" ht="13.5" customHeight="1" x14ac:dyDescent="0.2"/>
    <row r="393" s="51" customFormat="1" ht="13.5" customHeight="1" x14ac:dyDescent="0.2"/>
    <row r="394" s="51" customFormat="1" ht="13.5" customHeight="1" x14ac:dyDescent="0.2"/>
    <row r="395" s="51" customFormat="1" ht="13.5" customHeight="1" x14ac:dyDescent="0.2"/>
    <row r="396" s="51" customFormat="1" ht="13.5" customHeight="1" x14ac:dyDescent="0.2"/>
    <row r="397" s="51" customFormat="1" ht="13.5" customHeight="1" x14ac:dyDescent="0.2"/>
    <row r="398" s="51" customFormat="1" ht="13.5" customHeight="1" x14ac:dyDescent="0.2"/>
    <row r="399" s="51" customFormat="1" ht="13.5" customHeight="1" x14ac:dyDescent="0.2"/>
    <row r="400" s="51" customFormat="1" ht="13.5" customHeight="1" x14ac:dyDescent="0.2"/>
    <row r="401" s="51" customFormat="1" ht="13.5" customHeight="1" x14ac:dyDescent="0.2"/>
    <row r="402" s="51" customFormat="1" ht="13.5" customHeight="1" x14ac:dyDescent="0.2"/>
    <row r="403" s="51" customFormat="1" ht="13.5" customHeight="1" x14ac:dyDescent="0.2"/>
    <row r="404" s="51" customFormat="1" ht="13.5" customHeight="1" x14ac:dyDescent="0.2"/>
    <row r="405" s="51" customFormat="1" ht="13.5" customHeight="1" x14ac:dyDescent="0.2"/>
    <row r="406" s="51" customFormat="1" ht="13.5" customHeight="1" x14ac:dyDescent="0.2"/>
    <row r="407" s="51" customFormat="1" ht="13.5" customHeight="1" x14ac:dyDescent="0.2"/>
    <row r="408" s="51" customFormat="1" ht="13.5" customHeight="1" x14ac:dyDescent="0.2"/>
    <row r="409" s="51" customFormat="1" ht="13.5" customHeight="1" x14ac:dyDescent="0.2"/>
    <row r="410" s="51" customFormat="1" ht="13.5" customHeight="1" x14ac:dyDescent="0.2"/>
    <row r="411" s="51" customFormat="1" ht="13.5" customHeight="1" x14ac:dyDescent="0.2"/>
    <row r="412" s="51" customFormat="1" ht="13.5" customHeight="1" x14ac:dyDescent="0.2"/>
    <row r="413" s="51" customFormat="1" ht="13.5" customHeight="1" x14ac:dyDescent="0.2"/>
    <row r="414" s="51" customFormat="1" ht="13.5" customHeight="1" x14ac:dyDescent="0.2"/>
    <row r="415" s="51" customFormat="1" ht="13.5" customHeight="1" x14ac:dyDescent="0.2"/>
    <row r="416" s="51" customFormat="1" ht="13.5" customHeight="1" x14ac:dyDescent="0.2"/>
    <row r="417" s="51" customFormat="1" ht="13.5" customHeight="1" x14ac:dyDescent="0.2"/>
    <row r="418" s="51" customFormat="1" ht="13.5" customHeight="1" x14ac:dyDescent="0.2"/>
    <row r="419" s="51" customFormat="1" ht="13.5" customHeight="1" x14ac:dyDescent="0.2"/>
    <row r="420" s="51" customFormat="1" ht="13.5" customHeight="1" x14ac:dyDescent="0.2"/>
    <row r="421" s="51" customFormat="1" ht="13.5" customHeight="1" x14ac:dyDescent="0.2"/>
    <row r="422" s="51" customFormat="1" ht="13.5" customHeight="1" x14ac:dyDescent="0.2"/>
    <row r="423" s="51" customFormat="1" ht="13.5" customHeight="1" x14ac:dyDescent="0.2"/>
    <row r="424" s="51" customFormat="1" ht="13.5" customHeight="1" x14ac:dyDescent="0.2"/>
    <row r="425" s="51" customFormat="1" ht="13.5" customHeight="1" x14ac:dyDescent="0.2"/>
    <row r="426" s="51" customFormat="1" ht="13.5" customHeight="1" x14ac:dyDescent="0.2"/>
    <row r="427" s="51" customFormat="1" ht="13.5" customHeight="1" x14ac:dyDescent="0.2"/>
    <row r="428" s="51" customFormat="1" ht="13.5" customHeight="1" x14ac:dyDescent="0.2"/>
    <row r="429" s="51" customFormat="1" ht="13.5" customHeight="1" x14ac:dyDescent="0.2"/>
    <row r="430" s="51" customFormat="1" ht="13.5" customHeight="1" x14ac:dyDescent="0.2"/>
    <row r="431" s="51" customFormat="1" ht="13.5" customHeight="1" x14ac:dyDescent="0.2"/>
    <row r="432" s="51" customFormat="1" ht="13.5" customHeight="1" x14ac:dyDescent="0.2"/>
    <row r="433" s="51" customFormat="1" ht="13.5" customHeight="1" x14ac:dyDescent="0.2"/>
    <row r="434" s="51" customFormat="1" ht="13.5" customHeight="1" x14ac:dyDescent="0.2"/>
    <row r="435" s="51" customFormat="1" ht="13.5" customHeight="1" x14ac:dyDescent="0.2"/>
    <row r="436" s="51" customFormat="1" ht="13.5" customHeight="1" x14ac:dyDescent="0.2"/>
    <row r="437" s="51" customFormat="1" ht="13.5" customHeight="1" x14ac:dyDescent="0.2"/>
    <row r="438" s="51" customFormat="1" ht="13.5" customHeight="1" x14ac:dyDescent="0.2"/>
    <row r="439" s="51" customFormat="1" ht="13.5" customHeight="1" x14ac:dyDescent="0.2"/>
    <row r="440" s="51" customFormat="1" ht="13.5" customHeight="1" x14ac:dyDescent="0.2"/>
    <row r="441" s="51" customFormat="1" ht="13.5" customHeight="1" x14ac:dyDescent="0.2"/>
    <row r="442" s="51" customFormat="1" ht="13.5" customHeight="1" x14ac:dyDescent="0.2"/>
    <row r="443" s="51" customFormat="1" ht="13.5" customHeight="1" x14ac:dyDescent="0.2"/>
    <row r="444" s="51" customFormat="1" ht="13.5" customHeight="1" x14ac:dyDescent="0.2"/>
    <row r="445" s="51" customFormat="1" ht="13.5" customHeight="1" x14ac:dyDescent="0.2"/>
    <row r="446" s="51" customFormat="1" ht="13.5" customHeight="1" x14ac:dyDescent="0.2"/>
    <row r="447" s="51" customFormat="1" ht="13.5" customHeight="1" x14ac:dyDescent="0.2"/>
    <row r="448" s="51" customFormat="1" ht="13.5" customHeight="1" x14ac:dyDescent="0.2"/>
    <row r="449" s="51" customFormat="1" ht="13.5" customHeight="1" x14ac:dyDescent="0.2"/>
    <row r="450" s="51" customFormat="1" ht="13.5" customHeight="1" x14ac:dyDescent="0.2"/>
    <row r="451" s="51" customFormat="1" ht="13.5" customHeight="1" x14ac:dyDescent="0.2"/>
    <row r="452" s="51" customFormat="1" ht="13.5" customHeight="1" x14ac:dyDescent="0.2"/>
    <row r="453" s="51" customFormat="1" ht="13.5" customHeight="1" x14ac:dyDescent="0.2"/>
    <row r="454" s="51" customFormat="1" ht="13.5" customHeight="1" x14ac:dyDescent="0.2"/>
    <row r="455" s="51" customFormat="1" ht="13.5" customHeight="1" x14ac:dyDescent="0.2"/>
    <row r="456" s="51" customFormat="1" ht="13.5" customHeight="1" x14ac:dyDescent="0.2"/>
    <row r="457" s="51" customFormat="1" ht="13.5" customHeight="1" x14ac:dyDescent="0.2"/>
    <row r="458" s="51" customFormat="1" ht="13.5" customHeight="1" x14ac:dyDescent="0.2"/>
    <row r="459" s="51" customFormat="1" ht="13.5" customHeight="1" x14ac:dyDescent="0.2"/>
    <row r="460" s="51" customFormat="1" ht="13.5" customHeight="1" x14ac:dyDescent="0.2"/>
    <row r="461" s="51" customFormat="1" ht="13.5" customHeight="1" x14ac:dyDescent="0.2"/>
    <row r="462" s="51" customFormat="1" ht="13.5" customHeight="1" x14ac:dyDescent="0.2"/>
    <row r="463" s="51" customFormat="1" ht="13.5" customHeight="1" x14ac:dyDescent="0.2"/>
    <row r="464" s="51" customFormat="1" ht="13.5" customHeight="1" x14ac:dyDescent="0.2"/>
    <row r="465" s="51" customFormat="1" ht="13.5" customHeight="1" x14ac:dyDescent="0.2"/>
    <row r="466" s="51" customFormat="1" ht="13.5" customHeight="1" x14ac:dyDescent="0.2"/>
    <row r="467" s="51" customFormat="1" ht="13.5" customHeight="1" x14ac:dyDescent="0.2"/>
    <row r="468" s="51" customFormat="1" ht="13.5" customHeight="1" x14ac:dyDescent="0.2"/>
    <row r="469" s="51" customFormat="1" ht="13.5" customHeight="1" x14ac:dyDescent="0.2"/>
    <row r="470" s="51" customFormat="1" ht="13.5" customHeight="1" x14ac:dyDescent="0.2"/>
    <row r="471" s="51" customFormat="1" ht="13.5" customHeight="1" x14ac:dyDescent="0.2"/>
    <row r="472" s="51" customFormat="1" ht="13.5" customHeight="1" x14ac:dyDescent="0.2"/>
    <row r="473" s="51" customFormat="1" ht="13.5" customHeight="1" x14ac:dyDescent="0.2"/>
    <row r="474" s="51" customFormat="1" ht="13.5" customHeight="1" x14ac:dyDescent="0.2"/>
    <row r="475" s="51" customFormat="1" ht="13.5" customHeight="1" x14ac:dyDescent="0.2"/>
    <row r="476" s="51" customFormat="1" ht="13.5" customHeight="1" x14ac:dyDescent="0.2"/>
    <row r="477" s="51" customFormat="1" ht="13.5" customHeight="1" x14ac:dyDescent="0.2"/>
    <row r="478" s="51" customFormat="1" ht="13.5" customHeight="1" x14ac:dyDescent="0.2"/>
    <row r="479" s="51" customFormat="1" ht="13.5" customHeight="1" x14ac:dyDescent="0.2"/>
    <row r="480" s="51" customFormat="1" ht="13.5" customHeight="1" x14ac:dyDescent="0.2"/>
    <row r="481" s="51" customFormat="1" ht="13.5" customHeight="1" x14ac:dyDescent="0.2"/>
    <row r="482" s="51" customFormat="1" ht="13.5" customHeight="1" x14ac:dyDescent="0.2"/>
    <row r="483" s="51" customFormat="1" ht="13.5" customHeight="1" x14ac:dyDescent="0.2"/>
    <row r="484" s="51" customFormat="1" ht="13.5" customHeight="1" x14ac:dyDescent="0.2"/>
    <row r="485" s="51" customFormat="1" ht="13.5" customHeight="1" x14ac:dyDescent="0.2"/>
    <row r="486" s="51" customFormat="1" ht="13.5" customHeight="1" x14ac:dyDescent="0.2"/>
    <row r="487" s="51" customFormat="1" ht="13.5" customHeight="1" x14ac:dyDescent="0.2"/>
    <row r="488" s="51" customFormat="1" ht="13.5" customHeight="1" x14ac:dyDescent="0.2"/>
    <row r="489" s="51" customFormat="1" ht="13.5" customHeight="1" x14ac:dyDescent="0.2"/>
    <row r="490" s="51" customFormat="1" ht="13.5" customHeight="1" x14ac:dyDescent="0.2"/>
    <row r="491" s="51" customFormat="1" ht="13.5" customHeight="1" x14ac:dyDescent="0.2"/>
    <row r="492" s="51" customFormat="1" ht="13.5" customHeight="1" x14ac:dyDescent="0.2"/>
    <row r="493" s="51" customFormat="1" ht="13.5" customHeight="1" x14ac:dyDescent="0.2"/>
    <row r="494" s="51" customFormat="1" ht="13.5" customHeight="1" x14ac:dyDescent="0.2"/>
    <row r="495" s="51" customFormat="1" ht="13.5" customHeight="1" x14ac:dyDescent="0.2"/>
    <row r="496" s="51" customFormat="1" ht="13.5" customHeight="1" x14ac:dyDescent="0.2"/>
    <row r="497" s="51" customFormat="1" ht="13.5" customHeight="1" x14ac:dyDescent="0.2"/>
    <row r="498" s="51" customFormat="1" ht="13.5" customHeight="1" x14ac:dyDescent="0.2"/>
    <row r="499" s="51" customFormat="1" ht="13.5" customHeight="1" x14ac:dyDescent="0.2"/>
    <row r="500" s="51" customFormat="1" ht="13.5" customHeight="1" x14ac:dyDescent="0.2"/>
    <row r="501" s="51" customFormat="1" ht="13.5" customHeight="1" x14ac:dyDescent="0.2"/>
    <row r="502" s="51" customFormat="1" ht="13.5" customHeight="1" x14ac:dyDescent="0.2"/>
    <row r="503" s="51" customFormat="1" ht="13.5" customHeight="1" x14ac:dyDescent="0.2"/>
    <row r="504" s="51" customFormat="1" ht="13.5" customHeight="1" x14ac:dyDescent="0.2"/>
    <row r="505" s="51" customFormat="1" ht="13.5" customHeight="1" x14ac:dyDescent="0.2"/>
    <row r="506" s="51" customFormat="1" ht="13.5" customHeight="1" x14ac:dyDescent="0.2"/>
    <row r="507" s="51" customFormat="1" ht="13.5" customHeight="1" x14ac:dyDescent="0.2"/>
    <row r="508" s="51" customFormat="1" ht="13.5" customHeight="1" x14ac:dyDescent="0.2"/>
    <row r="509" s="51" customFormat="1" ht="13.5" customHeight="1" x14ac:dyDescent="0.2"/>
    <row r="510" s="51" customFormat="1" ht="13.5" customHeight="1" x14ac:dyDescent="0.2"/>
    <row r="511" s="51" customFormat="1" ht="13.5" customHeight="1" x14ac:dyDescent="0.2"/>
    <row r="512" s="51" customFormat="1" ht="13.5" customHeight="1" x14ac:dyDescent="0.2"/>
    <row r="513" s="51" customFormat="1" ht="13.5" customHeight="1" x14ac:dyDescent="0.2"/>
    <row r="514" s="51" customFormat="1" ht="13.5" customHeight="1" x14ac:dyDescent="0.2"/>
    <row r="515" s="51" customFormat="1" ht="13.5" customHeight="1" x14ac:dyDescent="0.2"/>
    <row r="516" s="51" customFormat="1" ht="13.5" customHeight="1" x14ac:dyDescent="0.2"/>
    <row r="517" s="51" customFormat="1" ht="13.5" customHeight="1" x14ac:dyDescent="0.2"/>
    <row r="518" s="51" customFormat="1" ht="13.5" customHeight="1" x14ac:dyDescent="0.2"/>
    <row r="519" s="51" customFormat="1" ht="13.5" customHeight="1" x14ac:dyDescent="0.2"/>
    <row r="520" s="51" customFormat="1" ht="13.5" customHeight="1" x14ac:dyDescent="0.2"/>
    <row r="521" s="51" customFormat="1" ht="13.5" customHeight="1" x14ac:dyDescent="0.2"/>
    <row r="522" s="51" customFormat="1" ht="13.5" customHeight="1" x14ac:dyDescent="0.2"/>
    <row r="523" s="51" customFormat="1" ht="13.5" customHeight="1" x14ac:dyDescent="0.2"/>
    <row r="524" s="51" customFormat="1" ht="13.5" customHeight="1" x14ac:dyDescent="0.2"/>
    <row r="525" s="51" customFormat="1" ht="13.5" customHeight="1" x14ac:dyDescent="0.2"/>
    <row r="526" s="51" customFormat="1" ht="13.5" customHeight="1" x14ac:dyDescent="0.2"/>
    <row r="527" s="51" customFormat="1" ht="13.5" customHeight="1" x14ac:dyDescent="0.2"/>
    <row r="528" s="51" customFormat="1" ht="13.5" customHeight="1" x14ac:dyDescent="0.2"/>
    <row r="529" s="51" customFormat="1" ht="13.5" customHeight="1" x14ac:dyDescent="0.2"/>
    <row r="530" s="51" customFormat="1" ht="13.5" customHeight="1" x14ac:dyDescent="0.2"/>
    <row r="531" s="51" customFormat="1" ht="13.5" customHeight="1" x14ac:dyDescent="0.2"/>
    <row r="532" s="51" customFormat="1" ht="13.5" customHeight="1" x14ac:dyDescent="0.2"/>
    <row r="533" s="51" customFormat="1" ht="13.5" customHeight="1" x14ac:dyDescent="0.2"/>
    <row r="534" s="51" customFormat="1" ht="13.5" customHeight="1" x14ac:dyDescent="0.2"/>
    <row r="535" s="51" customFormat="1" ht="13.5" customHeight="1" x14ac:dyDescent="0.2"/>
    <row r="536" s="51" customFormat="1" ht="13.5" customHeight="1" x14ac:dyDescent="0.2"/>
    <row r="537" s="51" customFormat="1" ht="13.5" customHeight="1" x14ac:dyDescent="0.2"/>
    <row r="538" s="51" customFormat="1" ht="13.5" customHeight="1" x14ac:dyDescent="0.2"/>
    <row r="539" s="51" customFormat="1" ht="13.5" customHeight="1" x14ac:dyDescent="0.2"/>
    <row r="540" s="51" customFormat="1" ht="13.5" customHeight="1" x14ac:dyDescent="0.2"/>
    <row r="541" s="51" customFormat="1" ht="13.5" customHeight="1" x14ac:dyDescent="0.2"/>
    <row r="542" s="51" customFormat="1" ht="13.5" customHeight="1" x14ac:dyDescent="0.2"/>
    <row r="543" s="51" customFormat="1" ht="13.5" customHeight="1" x14ac:dyDescent="0.2"/>
    <row r="544" s="51" customFormat="1" ht="13.5" customHeight="1" x14ac:dyDescent="0.2"/>
    <row r="545" s="51" customFormat="1" ht="13.5" customHeight="1" x14ac:dyDescent="0.2"/>
    <row r="546" s="51" customFormat="1" ht="13.5" customHeight="1" x14ac:dyDescent="0.2"/>
    <row r="547" s="51" customFormat="1" ht="13.5" customHeight="1" x14ac:dyDescent="0.2"/>
    <row r="548" s="51" customFormat="1" ht="13.5" customHeight="1" x14ac:dyDescent="0.2"/>
    <row r="549" s="51" customFormat="1" ht="13.5" customHeight="1" x14ac:dyDescent="0.2"/>
    <row r="550" s="51" customFormat="1" ht="13.5" customHeight="1" x14ac:dyDescent="0.2"/>
    <row r="551" s="51" customFormat="1" ht="13.5" customHeight="1" x14ac:dyDescent="0.2"/>
    <row r="552" s="51" customFormat="1" ht="13.5" customHeight="1" x14ac:dyDescent="0.2"/>
    <row r="553" s="51" customFormat="1" ht="13.5" customHeight="1" x14ac:dyDescent="0.2"/>
    <row r="554" s="51" customFormat="1" ht="13.5" customHeight="1" x14ac:dyDescent="0.2"/>
    <row r="555" s="51" customFormat="1" ht="13.5" customHeight="1" x14ac:dyDescent="0.2"/>
    <row r="556" s="51" customFormat="1" ht="13.5" customHeight="1" x14ac:dyDescent="0.2"/>
    <row r="557" s="51" customFormat="1" ht="13.5" customHeight="1" x14ac:dyDescent="0.2"/>
    <row r="558" s="51" customFormat="1" ht="13.5" customHeight="1" x14ac:dyDescent="0.2"/>
    <row r="559" s="51" customFormat="1" ht="13.5" customHeight="1" x14ac:dyDescent="0.2"/>
    <row r="560" s="51" customFormat="1" ht="13.5" customHeight="1" x14ac:dyDescent="0.2"/>
    <row r="561" s="51" customFormat="1" ht="13.5" customHeight="1" x14ac:dyDescent="0.2"/>
    <row r="562" s="51" customFormat="1" ht="13.5" customHeight="1" x14ac:dyDescent="0.2"/>
    <row r="563" s="51" customFormat="1" ht="13.5" customHeight="1" x14ac:dyDescent="0.2"/>
    <row r="564" s="51" customFormat="1" ht="13.5" customHeight="1" x14ac:dyDescent="0.2"/>
    <row r="565" s="51" customFormat="1" ht="13.5" customHeight="1" x14ac:dyDescent="0.2"/>
    <row r="566" s="51" customFormat="1" ht="13.5" customHeight="1" x14ac:dyDescent="0.2"/>
    <row r="567" s="51" customFormat="1" ht="13.5" customHeight="1" x14ac:dyDescent="0.2"/>
    <row r="568" s="51" customFormat="1" ht="13.5" customHeight="1" x14ac:dyDescent="0.2"/>
    <row r="569" s="51" customFormat="1" ht="13.5" customHeight="1" x14ac:dyDescent="0.2"/>
    <row r="570" s="51" customFormat="1" ht="13.5" customHeight="1" x14ac:dyDescent="0.2"/>
    <row r="571" s="51" customFormat="1" ht="13.5" customHeight="1" x14ac:dyDescent="0.2"/>
    <row r="572" s="51" customFormat="1" ht="13.5" customHeight="1" x14ac:dyDescent="0.2"/>
    <row r="573" s="51" customFormat="1" ht="13.5" customHeight="1" x14ac:dyDescent="0.2"/>
    <row r="574" s="51" customFormat="1" ht="13.5" customHeight="1" x14ac:dyDescent="0.2"/>
    <row r="575" s="51" customFormat="1" ht="13.5" customHeight="1" x14ac:dyDescent="0.2"/>
    <row r="576" s="51" customFormat="1" ht="13.5" customHeight="1" x14ac:dyDescent="0.2"/>
    <row r="577" s="51" customFormat="1" ht="13.5" customHeight="1" x14ac:dyDescent="0.2"/>
    <row r="578" s="51" customFormat="1" ht="13.5" customHeight="1" x14ac:dyDescent="0.2"/>
    <row r="579" s="51" customFormat="1" ht="13.5" customHeight="1" x14ac:dyDescent="0.2"/>
    <row r="580" s="51" customFormat="1" ht="13.5" customHeight="1" x14ac:dyDescent="0.2"/>
    <row r="581" s="51" customFormat="1" ht="13.5" customHeight="1" x14ac:dyDescent="0.2"/>
    <row r="582" s="51" customFormat="1" ht="13.5" customHeight="1" x14ac:dyDescent="0.2"/>
    <row r="583" s="51" customFormat="1" ht="13.5" customHeight="1" x14ac:dyDescent="0.2"/>
    <row r="584" s="51" customFormat="1" ht="13.5" customHeight="1" x14ac:dyDescent="0.2"/>
    <row r="585" s="51" customFormat="1" ht="13.5" customHeight="1" x14ac:dyDescent="0.2"/>
    <row r="586" s="51" customFormat="1" ht="13.5" customHeight="1" x14ac:dyDescent="0.2"/>
    <row r="587" s="51" customFormat="1" ht="13.5" customHeight="1" x14ac:dyDescent="0.2"/>
    <row r="588" s="51" customFormat="1" ht="13.5" customHeight="1" x14ac:dyDescent="0.2"/>
    <row r="589" s="51" customFormat="1" ht="13.5" customHeight="1" x14ac:dyDescent="0.2"/>
    <row r="590" s="51" customFormat="1" ht="13.5" customHeight="1" x14ac:dyDescent="0.2"/>
    <row r="591" s="51" customFormat="1" ht="13.5" customHeight="1" x14ac:dyDescent="0.2"/>
    <row r="592" s="51" customFormat="1" ht="13.5" customHeight="1" x14ac:dyDescent="0.2"/>
    <row r="593" s="51" customFormat="1" ht="13.5" customHeight="1" x14ac:dyDescent="0.2"/>
    <row r="594" s="51" customFormat="1" ht="13.5" customHeight="1" x14ac:dyDescent="0.2"/>
    <row r="595" s="51" customFormat="1" ht="13.5" customHeight="1" x14ac:dyDescent="0.2"/>
    <row r="596" s="51" customFormat="1" ht="13.5" customHeight="1" x14ac:dyDescent="0.2"/>
    <row r="597" s="51" customFormat="1" ht="13.5" customHeight="1" x14ac:dyDescent="0.2"/>
    <row r="598" s="51" customFormat="1" ht="13.5" customHeight="1" x14ac:dyDescent="0.2"/>
    <row r="599" s="51" customFormat="1" ht="13.5" customHeight="1" x14ac:dyDescent="0.2"/>
    <row r="600" s="51" customFormat="1" ht="13.5" customHeight="1" x14ac:dyDescent="0.2"/>
    <row r="601" s="51" customFormat="1" ht="13.5" customHeight="1" x14ac:dyDescent="0.2"/>
    <row r="602" s="51" customFormat="1" ht="13.5" customHeight="1" x14ac:dyDescent="0.2"/>
    <row r="603" s="51" customFormat="1" ht="13.5" customHeight="1" x14ac:dyDescent="0.2"/>
    <row r="604" s="51" customFormat="1" ht="13.5" customHeight="1" x14ac:dyDescent="0.2"/>
    <row r="605" s="51" customFormat="1" ht="13.5" customHeight="1" x14ac:dyDescent="0.2"/>
    <row r="606" s="51" customFormat="1" ht="13.5" customHeight="1" x14ac:dyDescent="0.2"/>
    <row r="607" s="51" customFormat="1" ht="13.5" customHeight="1" x14ac:dyDescent="0.2"/>
    <row r="608" s="51" customFormat="1" ht="13.5" customHeight="1" x14ac:dyDescent="0.2"/>
    <row r="609" s="51" customFormat="1" ht="13.5" customHeight="1" x14ac:dyDescent="0.2"/>
    <row r="610" s="51" customFormat="1" ht="13.5" customHeight="1" x14ac:dyDescent="0.2"/>
    <row r="611" s="51" customFormat="1" ht="13.5" customHeight="1" x14ac:dyDescent="0.2"/>
    <row r="612" s="51" customFormat="1" ht="13.5" customHeight="1" x14ac:dyDescent="0.2"/>
    <row r="613" s="51" customFormat="1" ht="13.5" customHeight="1" x14ac:dyDescent="0.2"/>
    <row r="614" s="51" customFormat="1" ht="13.5" customHeight="1" x14ac:dyDescent="0.2"/>
    <row r="615" s="51" customFormat="1" ht="13.5" customHeight="1" x14ac:dyDescent="0.2"/>
    <row r="616" s="51" customFormat="1" ht="13.5" customHeight="1" x14ac:dyDescent="0.2"/>
    <row r="617" s="51" customFormat="1" ht="13.5" customHeight="1" x14ac:dyDescent="0.2"/>
    <row r="618" s="51" customFormat="1" ht="13.5" customHeight="1" x14ac:dyDescent="0.2"/>
    <row r="619" s="51" customFormat="1" ht="13.5" customHeight="1" x14ac:dyDescent="0.2"/>
    <row r="620" s="51" customFormat="1" ht="13.5" customHeight="1" x14ac:dyDescent="0.2"/>
    <row r="621" s="51" customFormat="1" ht="13.5" customHeight="1" x14ac:dyDescent="0.2"/>
    <row r="622" s="51" customFormat="1" ht="13.5" customHeight="1" x14ac:dyDescent="0.2"/>
    <row r="623" s="51" customFormat="1" ht="13.5" customHeight="1" x14ac:dyDescent="0.2"/>
    <row r="624" s="51" customFormat="1" ht="13.5" customHeight="1" x14ac:dyDescent="0.2"/>
    <row r="625" s="51" customFormat="1" ht="13.5" customHeight="1" x14ac:dyDescent="0.2"/>
    <row r="626" s="51" customFormat="1" ht="13.5" customHeight="1" x14ac:dyDescent="0.2"/>
    <row r="627" s="51" customFormat="1" ht="13.5" customHeight="1" x14ac:dyDescent="0.2"/>
    <row r="628" s="51" customFormat="1" ht="13.5" customHeight="1" x14ac:dyDescent="0.2"/>
    <row r="629" s="51" customFormat="1" ht="13.5" customHeight="1" x14ac:dyDescent="0.2"/>
    <row r="630" s="51" customFormat="1" ht="13.5" customHeight="1" x14ac:dyDescent="0.2"/>
    <row r="631" s="51" customFormat="1" ht="13.5" customHeight="1" x14ac:dyDescent="0.2"/>
    <row r="632" s="51" customFormat="1" ht="13.5" customHeight="1" x14ac:dyDescent="0.2"/>
    <row r="633" s="51" customFormat="1" ht="13.5" customHeight="1" x14ac:dyDescent="0.2"/>
    <row r="634" s="51" customFormat="1" ht="13.5" customHeight="1" x14ac:dyDescent="0.2"/>
    <row r="635" s="51" customFormat="1" ht="13.5" customHeight="1" x14ac:dyDescent="0.2"/>
    <row r="636" s="51" customFormat="1" ht="13.5" customHeight="1" x14ac:dyDescent="0.2"/>
    <row r="637" s="51" customFormat="1" ht="13.5" customHeight="1" x14ac:dyDescent="0.2"/>
    <row r="638" s="51" customFormat="1" ht="13.5" customHeight="1" x14ac:dyDescent="0.2"/>
    <row r="639" s="51" customFormat="1" ht="13.5" customHeight="1" x14ac:dyDescent="0.2"/>
    <row r="640" s="51" customFormat="1" ht="13.5" customHeight="1" x14ac:dyDescent="0.2"/>
    <row r="641" s="51" customFormat="1" ht="13.5" customHeight="1" x14ac:dyDescent="0.2"/>
    <row r="642" s="51" customFormat="1" ht="13.5" customHeight="1" x14ac:dyDescent="0.2"/>
    <row r="643" s="51" customFormat="1" ht="13.5" customHeight="1" x14ac:dyDescent="0.2"/>
    <row r="644" s="51" customFormat="1" ht="13.5" customHeight="1" x14ac:dyDescent="0.2"/>
    <row r="645" s="51" customFormat="1" ht="13.5" customHeight="1" x14ac:dyDescent="0.2"/>
    <row r="646" s="51" customFormat="1" ht="13.5" customHeight="1" x14ac:dyDescent="0.2"/>
    <row r="647" s="51" customFormat="1" ht="13.5" customHeight="1" x14ac:dyDescent="0.2"/>
    <row r="648" s="51" customFormat="1" ht="13.5" customHeight="1" x14ac:dyDescent="0.2"/>
    <row r="649" s="51" customFormat="1" ht="13.5" customHeight="1" x14ac:dyDescent="0.2"/>
    <row r="650" s="51" customFormat="1" ht="13.5" customHeight="1" x14ac:dyDescent="0.2"/>
    <row r="651" s="51" customFormat="1" ht="13.5" customHeight="1" x14ac:dyDescent="0.2"/>
    <row r="652" s="51" customFormat="1" ht="13.5" customHeight="1" x14ac:dyDescent="0.2"/>
    <row r="653" s="51" customFormat="1" ht="13.5" customHeight="1" x14ac:dyDescent="0.2"/>
    <row r="654" s="51" customFormat="1" ht="13.5" customHeight="1" x14ac:dyDescent="0.2"/>
    <row r="655" s="51" customFormat="1" ht="13.5" customHeight="1" x14ac:dyDescent="0.2"/>
    <row r="656" s="51" customFormat="1" ht="13.5" customHeight="1" x14ac:dyDescent="0.2"/>
    <row r="657" s="51" customFormat="1" ht="13.5" customHeight="1" x14ac:dyDescent="0.2"/>
    <row r="658" s="51" customFormat="1" ht="13.5" customHeight="1" x14ac:dyDescent="0.2"/>
    <row r="659" s="51" customFormat="1" ht="13.5" customHeight="1" x14ac:dyDescent="0.2"/>
    <row r="660" s="51" customFormat="1" ht="13.5" customHeight="1" x14ac:dyDescent="0.2"/>
    <row r="661" s="51" customFormat="1" ht="13.5" customHeight="1" x14ac:dyDescent="0.2"/>
    <row r="662" s="51" customFormat="1" ht="13.5" customHeight="1" x14ac:dyDescent="0.2"/>
    <row r="663" s="51" customFormat="1" ht="13.5" customHeight="1" x14ac:dyDescent="0.2"/>
    <row r="664" s="51" customFormat="1" ht="13.5" customHeight="1" x14ac:dyDescent="0.2"/>
    <row r="665" s="51" customFormat="1" ht="13.5" customHeight="1" x14ac:dyDescent="0.2"/>
    <row r="666" s="51" customFormat="1" ht="13.5" customHeight="1" x14ac:dyDescent="0.2"/>
    <row r="667" s="51" customFormat="1" ht="13.5" customHeight="1" x14ac:dyDescent="0.2"/>
    <row r="668" s="51" customFormat="1" ht="13.5" customHeight="1" x14ac:dyDescent="0.2"/>
    <row r="669" s="51" customFormat="1" ht="13.5" customHeight="1" x14ac:dyDescent="0.2"/>
    <row r="670" s="51" customFormat="1" ht="13.5" customHeight="1" x14ac:dyDescent="0.2"/>
    <row r="671" s="51" customFormat="1" ht="13.5" customHeight="1" x14ac:dyDescent="0.2"/>
    <row r="672" s="51" customFormat="1" ht="13.5" customHeight="1" x14ac:dyDescent="0.2"/>
    <row r="673" s="51" customFormat="1" ht="13.5" customHeight="1" x14ac:dyDescent="0.2"/>
    <row r="674" s="51" customFormat="1" ht="13.5" customHeight="1" x14ac:dyDescent="0.2"/>
    <row r="675" s="51" customFormat="1" ht="13.5" customHeight="1" x14ac:dyDescent="0.2"/>
    <row r="676" s="51" customFormat="1" ht="13.5" customHeight="1" x14ac:dyDescent="0.2"/>
    <row r="677" s="51" customFormat="1" ht="13.5" customHeight="1" x14ac:dyDescent="0.2"/>
    <row r="678" s="51" customFormat="1" ht="13.5" customHeight="1" x14ac:dyDescent="0.2"/>
    <row r="679" s="51" customFormat="1" ht="13.5" customHeight="1" x14ac:dyDescent="0.2"/>
    <row r="680" s="51" customFormat="1" ht="13.5" customHeight="1" x14ac:dyDescent="0.2"/>
    <row r="681" s="51" customFormat="1" ht="13.5" customHeight="1" x14ac:dyDescent="0.2"/>
    <row r="682" s="51" customFormat="1" ht="13.5" customHeight="1" x14ac:dyDescent="0.2"/>
    <row r="683" s="51" customFormat="1" ht="13.5" customHeight="1" x14ac:dyDescent="0.2"/>
    <row r="684" s="51" customFormat="1" ht="13.5" customHeight="1" x14ac:dyDescent="0.2"/>
    <row r="685" s="51" customFormat="1" ht="13.5" customHeight="1" x14ac:dyDescent="0.2"/>
    <row r="686" s="51" customFormat="1" ht="13.5" customHeight="1" x14ac:dyDescent="0.2"/>
    <row r="687" s="51" customFormat="1" ht="13.5" customHeight="1" x14ac:dyDescent="0.2"/>
    <row r="688" s="51" customFormat="1" ht="13.5" customHeight="1" x14ac:dyDescent="0.2"/>
    <row r="689" s="51" customFormat="1" ht="13.5" customHeight="1" x14ac:dyDescent="0.2"/>
    <row r="690" s="51" customFormat="1" ht="13.5" customHeight="1" x14ac:dyDescent="0.2"/>
    <row r="691" s="51" customFormat="1" ht="13.5" customHeight="1" x14ac:dyDescent="0.2"/>
    <row r="692" s="51" customFormat="1" ht="13.5" customHeight="1" x14ac:dyDescent="0.2"/>
    <row r="693" s="51" customFormat="1" ht="13.5" customHeight="1" x14ac:dyDescent="0.2"/>
    <row r="694" s="51" customFormat="1" ht="13.5" customHeight="1" x14ac:dyDescent="0.2"/>
    <row r="695" s="51" customFormat="1" ht="13.5" customHeight="1" x14ac:dyDescent="0.2"/>
    <row r="696" s="51" customFormat="1" ht="13.5" customHeight="1" x14ac:dyDescent="0.2"/>
    <row r="697" s="51" customFormat="1" ht="13.5" customHeight="1" x14ac:dyDescent="0.2"/>
    <row r="698" s="51" customFormat="1" ht="13.5" customHeight="1" x14ac:dyDescent="0.2"/>
    <row r="699" s="51" customFormat="1" ht="13.5" customHeight="1" x14ac:dyDescent="0.2"/>
    <row r="700" s="51" customFormat="1" ht="13.5" customHeight="1" x14ac:dyDescent="0.2"/>
    <row r="701" s="51" customFormat="1" ht="13.5" customHeight="1" x14ac:dyDescent="0.2"/>
    <row r="702" s="51" customFormat="1" ht="13.5" customHeight="1" x14ac:dyDescent="0.2"/>
    <row r="703" s="51" customFormat="1" ht="13.5" customHeight="1" x14ac:dyDescent="0.2"/>
    <row r="704" s="51" customFormat="1" ht="13.5" customHeight="1" x14ac:dyDescent="0.2"/>
    <row r="705" s="51" customFormat="1" ht="13.5" customHeight="1" x14ac:dyDescent="0.2"/>
    <row r="706" s="51" customFormat="1" ht="13.5" customHeight="1" x14ac:dyDescent="0.2"/>
    <row r="707" s="51" customFormat="1" ht="13.5" customHeight="1" x14ac:dyDescent="0.2"/>
    <row r="708" s="51" customFormat="1" ht="13.5" customHeight="1" x14ac:dyDescent="0.2"/>
    <row r="709" s="51" customFormat="1" ht="13.5" customHeight="1" x14ac:dyDescent="0.2"/>
    <row r="710" s="51" customFormat="1" ht="13.5" customHeight="1" x14ac:dyDescent="0.2"/>
    <row r="711" s="51" customFormat="1" ht="13.5" customHeight="1" x14ac:dyDescent="0.2"/>
    <row r="712" s="51" customFormat="1" ht="13.5" customHeight="1" x14ac:dyDescent="0.2"/>
    <row r="713" s="51" customFormat="1" ht="13.5" customHeight="1" x14ac:dyDescent="0.2"/>
    <row r="714" s="51" customFormat="1" ht="13.5" customHeight="1" x14ac:dyDescent="0.2"/>
    <row r="715" s="51" customFormat="1" ht="13.5" customHeight="1" x14ac:dyDescent="0.2"/>
    <row r="716" s="51" customFormat="1" ht="13.5" customHeight="1" x14ac:dyDescent="0.2"/>
    <row r="717" s="51" customFormat="1" ht="13.5" customHeight="1" x14ac:dyDescent="0.2"/>
    <row r="718" s="51" customFormat="1" ht="13.5" customHeight="1" x14ac:dyDescent="0.2"/>
    <row r="719" s="51" customFormat="1" ht="13.5" customHeight="1" x14ac:dyDescent="0.2"/>
    <row r="720" s="51" customFormat="1" ht="13.5" customHeight="1" x14ac:dyDescent="0.2"/>
    <row r="721" s="51" customFormat="1" ht="13.5" customHeight="1" x14ac:dyDescent="0.2"/>
    <row r="722" s="51" customFormat="1" ht="13.5" customHeight="1" x14ac:dyDescent="0.2"/>
    <row r="723" s="51" customFormat="1" ht="13.5" customHeight="1" x14ac:dyDescent="0.2"/>
    <row r="724" s="51" customFormat="1" ht="13.5" customHeight="1" x14ac:dyDescent="0.2"/>
    <row r="725" s="51" customFormat="1" ht="13.5" customHeight="1" x14ac:dyDescent="0.2"/>
    <row r="726" s="51" customFormat="1" ht="13.5" customHeight="1" x14ac:dyDescent="0.2"/>
    <row r="727" s="51" customFormat="1" ht="13.5" customHeight="1" x14ac:dyDescent="0.2"/>
    <row r="728" s="51" customFormat="1" ht="13.5" customHeight="1" x14ac:dyDescent="0.2"/>
    <row r="729" s="51" customFormat="1" ht="13.5" customHeight="1" x14ac:dyDescent="0.2"/>
    <row r="730" s="51" customFormat="1" ht="13.5" customHeight="1" x14ac:dyDescent="0.2"/>
    <row r="731" s="51" customFormat="1" ht="13.5" customHeight="1" x14ac:dyDescent="0.2"/>
    <row r="732" s="51" customFormat="1" ht="13.5" customHeight="1" x14ac:dyDescent="0.2"/>
    <row r="733" s="51" customFormat="1" ht="13.5" customHeight="1" x14ac:dyDescent="0.2"/>
    <row r="734" s="51" customFormat="1" ht="13.5" customHeight="1" x14ac:dyDescent="0.2"/>
    <row r="735" s="51" customFormat="1" ht="13.5" customHeight="1" x14ac:dyDescent="0.2"/>
    <row r="736" s="51" customFormat="1" ht="13.5" customHeight="1" x14ac:dyDescent="0.2"/>
    <row r="737" s="51" customFormat="1" ht="13.5" customHeight="1" x14ac:dyDescent="0.2"/>
    <row r="738" s="51" customFormat="1" ht="13.5" customHeight="1" x14ac:dyDescent="0.2"/>
    <row r="739" s="51" customFormat="1" ht="13.5" customHeight="1" x14ac:dyDescent="0.2"/>
    <row r="740" s="51" customFormat="1" ht="13.5" customHeight="1" x14ac:dyDescent="0.2"/>
    <row r="741" s="51" customFormat="1" ht="13.5" customHeight="1" x14ac:dyDescent="0.2"/>
    <row r="742" s="51" customFormat="1" ht="13.5" customHeight="1" x14ac:dyDescent="0.2"/>
    <row r="743" s="51" customFormat="1" ht="13.5" customHeight="1" x14ac:dyDescent="0.2"/>
    <row r="744" s="51" customFormat="1" ht="13.5" customHeight="1" x14ac:dyDescent="0.2"/>
    <row r="745" s="51" customFormat="1" ht="13.5" customHeight="1" x14ac:dyDescent="0.2"/>
    <row r="746" s="51" customFormat="1" ht="13.5" customHeight="1" x14ac:dyDescent="0.2"/>
    <row r="747" s="51" customFormat="1" ht="13.5" customHeight="1" x14ac:dyDescent="0.2"/>
    <row r="748" s="51" customFormat="1" ht="13.5" customHeight="1" x14ac:dyDescent="0.2"/>
    <row r="749" s="51" customFormat="1" ht="13.5" customHeight="1" x14ac:dyDescent="0.2"/>
    <row r="750" s="51" customFormat="1" ht="13.5" customHeight="1" x14ac:dyDescent="0.2"/>
    <row r="751" s="51" customFormat="1" ht="13.5" customHeight="1" x14ac:dyDescent="0.2"/>
    <row r="752" s="51" customFormat="1" ht="13.5" customHeight="1" x14ac:dyDescent="0.2"/>
    <row r="753" s="51" customFormat="1" ht="13.5" customHeight="1" x14ac:dyDescent="0.2"/>
    <row r="754" s="51" customFormat="1" ht="13.5" customHeight="1" x14ac:dyDescent="0.2"/>
    <row r="755" s="51" customFormat="1" ht="13.5" customHeight="1" x14ac:dyDescent="0.2"/>
    <row r="756" s="51" customFormat="1" ht="13.5" customHeight="1" x14ac:dyDescent="0.2"/>
    <row r="757" s="51" customFormat="1" ht="13.5" customHeight="1" x14ac:dyDescent="0.2"/>
    <row r="758" s="51" customFormat="1" ht="13.5" customHeight="1" x14ac:dyDescent="0.2"/>
    <row r="759" s="51" customFormat="1" ht="13.5" customHeight="1" x14ac:dyDescent="0.2"/>
    <row r="760" s="51" customFormat="1" ht="13.5" customHeight="1" x14ac:dyDescent="0.2"/>
    <row r="761" s="51" customFormat="1" ht="13.5" customHeight="1" x14ac:dyDescent="0.2"/>
    <row r="762" s="51" customFormat="1" ht="13.5" customHeight="1" x14ac:dyDescent="0.2"/>
    <row r="763" s="51" customFormat="1" ht="13.5" customHeight="1" x14ac:dyDescent="0.2"/>
    <row r="764" s="51" customFormat="1" ht="13.5" customHeight="1" x14ac:dyDescent="0.2"/>
    <row r="765" s="51" customFormat="1" ht="13.5" customHeight="1" x14ac:dyDescent="0.2"/>
    <row r="766" s="51" customFormat="1" ht="13.5" customHeight="1" x14ac:dyDescent="0.2"/>
    <row r="767" s="51" customFormat="1" ht="13.5" customHeight="1" x14ac:dyDescent="0.2"/>
    <row r="768" s="51" customFormat="1" ht="13.5" customHeight="1" x14ac:dyDescent="0.2"/>
    <row r="769" s="51" customFormat="1" ht="13.5" customHeight="1" x14ac:dyDescent="0.2"/>
    <row r="770" s="51" customFormat="1" ht="13.5" customHeight="1" x14ac:dyDescent="0.2"/>
    <row r="771" s="51" customFormat="1" ht="13.5" customHeight="1" x14ac:dyDescent="0.2"/>
    <row r="772" s="51" customFormat="1" ht="13.5" customHeight="1" x14ac:dyDescent="0.2"/>
    <row r="773" s="51" customFormat="1" ht="13.5" customHeight="1" x14ac:dyDescent="0.2"/>
    <row r="774" s="51" customFormat="1" ht="13.5" customHeight="1" x14ac:dyDescent="0.2"/>
    <row r="775" s="51" customFormat="1" ht="13.5" customHeight="1" x14ac:dyDescent="0.2"/>
    <row r="776" s="51" customFormat="1" ht="13.5" customHeight="1" x14ac:dyDescent="0.2"/>
    <row r="777" s="51" customFormat="1" ht="13.5" customHeight="1" x14ac:dyDescent="0.2"/>
    <row r="778" s="51" customFormat="1" ht="13.5" customHeight="1" x14ac:dyDescent="0.2"/>
    <row r="779" s="51" customFormat="1" ht="13.5" customHeight="1" x14ac:dyDescent="0.2"/>
    <row r="780" s="51" customFormat="1" ht="13.5" customHeight="1" x14ac:dyDescent="0.2"/>
    <row r="781" s="51" customFormat="1" ht="13.5" customHeight="1" x14ac:dyDescent="0.2"/>
    <row r="782" s="51" customFormat="1" ht="13.5" customHeight="1" x14ac:dyDescent="0.2"/>
    <row r="783" s="51" customFormat="1" ht="13.5" customHeight="1" x14ac:dyDescent="0.2"/>
    <row r="784" s="51" customFormat="1" ht="13.5" customHeight="1" x14ac:dyDescent="0.2"/>
    <row r="785" s="51" customFormat="1" ht="13.5" customHeight="1" x14ac:dyDescent="0.2"/>
    <row r="786" s="51" customFormat="1" ht="13.5" customHeight="1" x14ac:dyDescent="0.2"/>
    <row r="787" s="51" customFormat="1" ht="13.5" customHeight="1" x14ac:dyDescent="0.2"/>
    <row r="788" s="51" customFormat="1" ht="13.5" customHeight="1" x14ac:dyDescent="0.2"/>
    <row r="789" s="51" customFormat="1" ht="13.5" customHeight="1" x14ac:dyDescent="0.2"/>
    <row r="790" s="51" customFormat="1" ht="13.5" customHeight="1" x14ac:dyDescent="0.2"/>
    <row r="791" s="51" customFormat="1" ht="13.5" customHeight="1" x14ac:dyDescent="0.2"/>
    <row r="792" s="51" customFormat="1" ht="13.5" customHeight="1" x14ac:dyDescent="0.2"/>
    <row r="793" s="51" customFormat="1" ht="13.5" customHeight="1" x14ac:dyDescent="0.2"/>
    <row r="794" s="51" customFormat="1" ht="13.5" customHeight="1" x14ac:dyDescent="0.2"/>
    <row r="795" s="51" customFormat="1" ht="13.5" customHeight="1" x14ac:dyDescent="0.2"/>
    <row r="796" s="51" customFormat="1" ht="13.5" customHeight="1" x14ac:dyDescent="0.2"/>
    <row r="797" s="51" customFormat="1" ht="13.5" customHeight="1" x14ac:dyDescent="0.2"/>
    <row r="798" s="51" customFormat="1" ht="13.5" customHeight="1" x14ac:dyDescent="0.2"/>
    <row r="799" s="51" customFormat="1" ht="13.5" customHeight="1" x14ac:dyDescent="0.2"/>
    <row r="800" s="51" customFormat="1" ht="13.5" customHeight="1" x14ac:dyDescent="0.2"/>
    <row r="801" s="51" customFormat="1" ht="13.5" customHeight="1" x14ac:dyDescent="0.2"/>
    <row r="802" s="51" customFormat="1" ht="13.5" customHeight="1" x14ac:dyDescent="0.2"/>
    <row r="803" s="51" customFormat="1" ht="13.5" customHeight="1" x14ac:dyDescent="0.2"/>
    <row r="804" s="51" customFormat="1" ht="13.5" customHeight="1" x14ac:dyDescent="0.2"/>
    <row r="805" s="51" customFormat="1" ht="13.5" customHeight="1" x14ac:dyDescent="0.2"/>
    <row r="806" s="51" customFormat="1" ht="13.5" customHeight="1" x14ac:dyDescent="0.2"/>
    <row r="807" s="51" customFormat="1" ht="13.5" customHeight="1" x14ac:dyDescent="0.2"/>
    <row r="808" s="51" customFormat="1" ht="13.5" customHeight="1" x14ac:dyDescent="0.2"/>
    <row r="809" s="51" customFormat="1" ht="13.5" customHeight="1" x14ac:dyDescent="0.2"/>
    <row r="810" s="51" customFormat="1" ht="13.5" customHeight="1" x14ac:dyDescent="0.2"/>
    <row r="811" s="51" customFormat="1" ht="13.5" customHeight="1" x14ac:dyDescent="0.2"/>
    <row r="812" s="51" customFormat="1" ht="13.5" customHeight="1" x14ac:dyDescent="0.2"/>
    <row r="813" s="51" customFormat="1" ht="13.5" customHeight="1" x14ac:dyDescent="0.2"/>
    <row r="814" s="51" customFormat="1" ht="13.5" customHeight="1" x14ac:dyDescent="0.2"/>
    <row r="815" s="51" customFormat="1" ht="13.5" customHeight="1" x14ac:dyDescent="0.2"/>
    <row r="816" s="51" customFormat="1" ht="13.5" customHeight="1" x14ac:dyDescent="0.2"/>
    <row r="817" s="51" customFormat="1" ht="13.5" customHeight="1" x14ac:dyDescent="0.2"/>
    <row r="818" s="51" customFormat="1" ht="13.5" customHeight="1" x14ac:dyDescent="0.2"/>
    <row r="819" s="51" customFormat="1" ht="13.5" customHeight="1" x14ac:dyDescent="0.2"/>
    <row r="820" s="51" customFormat="1" ht="13.5" customHeight="1" x14ac:dyDescent="0.2"/>
    <row r="821" s="51" customFormat="1" ht="13.5" customHeight="1" x14ac:dyDescent="0.2"/>
    <row r="822" s="51" customFormat="1" ht="13.5" customHeight="1" x14ac:dyDescent="0.2"/>
    <row r="823" s="51" customFormat="1" ht="13.5" customHeight="1" x14ac:dyDescent="0.2"/>
    <row r="824" s="51" customFormat="1" ht="13.5" customHeight="1" x14ac:dyDescent="0.2"/>
    <row r="825" s="51" customFormat="1" ht="13.5" customHeight="1" x14ac:dyDescent="0.2"/>
    <row r="826" s="51" customFormat="1" ht="13.5" customHeight="1" x14ac:dyDescent="0.2"/>
    <row r="827" s="51" customFormat="1" ht="13.5" customHeight="1" x14ac:dyDescent="0.2"/>
    <row r="828" s="51" customFormat="1" ht="13.5" customHeight="1" x14ac:dyDescent="0.2"/>
    <row r="829" s="51" customFormat="1" ht="13.5" customHeight="1" x14ac:dyDescent="0.2"/>
    <row r="830" s="51" customFormat="1" ht="13.5" customHeight="1" x14ac:dyDescent="0.2"/>
    <row r="831" s="51" customFormat="1" ht="13.5" customHeight="1" x14ac:dyDescent="0.2"/>
    <row r="832" s="51" customFormat="1" ht="13.5" customHeight="1" x14ac:dyDescent="0.2"/>
    <row r="833" s="51" customFormat="1" ht="13.5" customHeight="1" x14ac:dyDescent="0.2"/>
    <row r="834" s="51" customFormat="1" ht="13.5" customHeight="1" x14ac:dyDescent="0.2"/>
    <row r="835" s="51" customFormat="1" ht="13.5" customHeight="1" x14ac:dyDescent="0.2"/>
    <row r="836" s="51" customFormat="1" ht="13.5" customHeight="1" x14ac:dyDescent="0.2"/>
    <row r="837" s="51" customFormat="1" ht="13.5" customHeight="1" x14ac:dyDescent="0.2"/>
    <row r="838" s="51" customFormat="1" ht="13.5" customHeight="1" x14ac:dyDescent="0.2"/>
    <row r="839" s="51" customFormat="1" ht="13.5" customHeight="1" x14ac:dyDescent="0.2"/>
    <row r="840" s="51" customFormat="1" ht="13.5" customHeight="1" x14ac:dyDescent="0.2"/>
    <row r="841" s="51" customFormat="1" ht="13.5" customHeight="1" x14ac:dyDescent="0.2"/>
    <row r="842" s="51" customFormat="1" ht="13.5" customHeight="1" x14ac:dyDescent="0.2"/>
    <row r="843" s="51" customFormat="1" ht="13.5" customHeight="1" x14ac:dyDescent="0.2"/>
    <row r="844" s="51" customFormat="1" ht="13.5" customHeight="1" x14ac:dyDescent="0.2"/>
    <row r="845" s="51" customFormat="1" ht="13.5" customHeight="1" x14ac:dyDescent="0.2"/>
    <row r="846" s="51" customFormat="1" ht="13.5" customHeight="1" x14ac:dyDescent="0.2"/>
    <row r="847" s="51" customFormat="1" ht="13.5" customHeight="1" x14ac:dyDescent="0.2"/>
    <row r="848" s="51" customFormat="1" ht="13.5" customHeight="1" x14ac:dyDescent="0.2"/>
    <row r="849" s="51" customFormat="1" ht="13.5" customHeight="1" x14ac:dyDescent="0.2"/>
    <row r="850" s="51" customFormat="1" ht="13.5" customHeight="1" x14ac:dyDescent="0.2"/>
    <row r="851" s="51" customFormat="1" ht="13.5" customHeight="1" x14ac:dyDescent="0.2"/>
    <row r="852" s="51" customFormat="1" ht="13.5" customHeight="1" x14ac:dyDescent="0.2"/>
    <row r="853" s="51" customFormat="1" ht="13.5" customHeight="1" x14ac:dyDescent="0.2"/>
    <row r="854" s="51" customFormat="1" ht="13.5" customHeight="1" x14ac:dyDescent="0.2"/>
    <row r="855" s="51" customFormat="1" ht="13.5" customHeight="1" x14ac:dyDescent="0.2"/>
    <row r="856" s="51" customFormat="1" ht="13.5" customHeight="1" x14ac:dyDescent="0.2"/>
    <row r="857" s="51" customFormat="1" ht="13.5" customHeight="1" x14ac:dyDescent="0.2"/>
    <row r="858" s="51" customFormat="1" ht="13.5" customHeight="1" x14ac:dyDescent="0.2"/>
    <row r="859" s="51" customFormat="1" ht="13.5" customHeight="1" x14ac:dyDescent="0.2"/>
    <row r="860" s="51" customFormat="1" ht="13.5" customHeight="1" x14ac:dyDescent="0.2"/>
    <row r="861" s="51" customFormat="1" ht="13.5" customHeight="1" x14ac:dyDescent="0.2"/>
    <row r="862" s="51" customFormat="1" ht="13.5" customHeight="1" x14ac:dyDescent="0.2"/>
    <row r="863" s="51" customFormat="1" ht="13.5" customHeight="1" x14ac:dyDescent="0.2"/>
    <row r="864" s="51" customFormat="1" ht="13.5" customHeight="1" x14ac:dyDescent="0.2"/>
    <row r="865" s="51" customFormat="1" ht="13.5" customHeight="1" x14ac:dyDescent="0.2"/>
    <row r="866" s="51" customFormat="1" ht="13.5" customHeight="1" x14ac:dyDescent="0.2"/>
    <row r="867" s="51" customFormat="1" ht="13.5" customHeight="1" x14ac:dyDescent="0.2"/>
    <row r="868" s="51" customFormat="1" ht="13.5" customHeight="1" x14ac:dyDescent="0.2"/>
    <row r="869" s="51" customFormat="1" ht="13.5" customHeight="1" x14ac:dyDescent="0.2"/>
    <row r="870" s="51" customFormat="1" ht="13.5" customHeight="1" x14ac:dyDescent="0.2"/>
    <row r="871" s="51" customFormat="1" ht="13.5" customHeight="1" x14ac:dyDescent="0.2"/>
    <row r="872" s="51" customFormat="1" ht="13.5" customHeight="1" x14ac:dyDescent="0.2"/>
    <row r="873" s="51" customFormat="1" ht="13.5" customHeight="1" x14ac:dyDescent="0.2"/>
    <row r="874" s="51" customFormat="1" ht="13.5" customHeight="1" x14ac:dyDescent="0.2"/>
    <row r="875" s="51" customFormat="1" ht="13.5" customHeight="1" x14ac:dyDescent="0.2"/>
    <row r="876" s="51" customFormat="1" ht="13.5" customHeight="1" x14ac:dyDescent="0.2"/>
    <row r="877" s="51" customFormat="1" ht="13.5" customHeight="1" x14ac:dyDescent="0.2"/>
    <row r="878" s="51" customFormat="1" ht="13.5" customHeight="1" x14ac:dyDescent="0.2"/>
    <row r="879" s="51" customFormat="1" ht="13.5" customHeight="1" x14ac:dyDescent="0.2"/>
    <row r="880" s="51" customFormat="1" ht="13.5" customHeight="1" x14ac:dyDescent="0.2"/>
    <row r="881" s="51" customFormat="1" ht="13.5" customHeight="1" x14ac:dyDescent="0.2"/>
    <row r="882" s="51" customFormat="1" ht="13.5" customHeight="1" x14ac:dyDescent="0.2"/>
    <row r="883" s="51" customFormat="1" ht="13.5" customHeight="1" x14ac:dyDescent="0.2"/>
    <row r="884" s="51" customFormat="1" ht="13.5" customHeight="1" x14ac:dyDescent="0.2"/>
    <row r="885" s="51" customFormat="1" ht="13.5" customHeight="1" x14ac:dyDescent="0.2"/>
    <row r="886" s="51" customFormat="1" ht="13.5" customHeight="1" x14ac:dyDescent="0.2"/>
    <row r="887" s="51" customFormat="1" ht="13.5" customHeight="1" x14ac:dyDescent="0.2"/>
    <row r="888" s="51" customFormat="1" ht="13.5" customHeight="1" x14ac:dyDescent="0.2"/>
    <row r="889" s="51" customFormat="1" ht="13.5" customHeight="1" x14ac:dyDescent="0.2"/>
    <row r="890" s="51" customFormat="1" ht="13.5" customHeight="1" x14ac:dyDescent="0.2"/>
    <row r="891" s="51" customFormat="1" ht="13.5" customHeight="1" x14ac:dyDescent="0.2"/>
    <row r="892" s="51" customFormat="1" ht="13.5" customHeight="1" x14ac:dyDescent="0.2"/>
    <row r="893" s="51" customFormat="1" ht="13.5" customHeight="1" x14ac:dyDescent="0.2"/>
    <row r="894" s="51" customFormat="1" ht="13.5" customHeight="1" x14ac:dyDescent="0.2"/>
    <row r="895" s="51" customFormat="1" ht="13.5" customHeight="1" x14ac:dyDescent="0.2"/>
    <row r="896" s="51" customFormat="1" ht="13.5" customHeight="1" x14ac:dyDescent="0.2"/>
    <row r="897" s="51" customFormat="1" ht="13.5" customHeight="1" x14ac:dyDescent="0.2"/>
    <row r="898" s="51" customFormat="1" ht="13.5" customHeight="1" x14ac:dyDescent="0.2"/>
    <row r="899" s="51" customFormat="1" ht="13.5" customHeight="1" x14ac:dyDescent="0.2"/>
    <row r="900" s="51" customFormat="1" ht="13.5" customHeight="1" x14ac:dyDescent="0.2"/>
    <row r="901" s="51" customFormat="1" ht="13.5" customHeight="1" x14ac:dyDescent="0.2"/>
    <row r="902" s="51" customFormat="1" ht="13.5" customHeight="1" x14ac:dyDescent="0.2"/>
    <row r="903" s="51" customFormat="1" ht="13.5" customHeight="1" x14ac:dyDescent="0.2"/>
    <row r="904" s="51" customFormat="1" ht="13.5" customHeight="1" x14ac:dyDescent="0.2"/>
    <row r="905" s="51" customFormat="1" ht="13.5" customHeight="1" x14ac:dyDescent="0.2"/>
    <row r="906" s="51" customFormat="1" ht="13.5" customHeight="1" x14ac:dyDescent="0.2"/>
    <row r="907" s="51" customFormat="1" ht="13.5" customHeight="1" x14ac:dyDescent="0.2"/>
    <row r="908" s="51" customFormat="1" ht="13.5" customHeight="1" x14ac:dyDescent="0.2"/>
    <row r="909" s="51" customFormat="1" ht="13.5" customHeight="1" x14ac:dyDescent="0.2"/>
    <row r="910" s="51" customFormat="1" ht="13.5" customHeight="1" x14ac:dyDescent="0.2"/>
    <row r="911" s="51" customFormat="1" ht="13.5" customHeight="1" x14ac:dyDescent="0.2"/>
    <row r="912" s="51" customFormat="1" ht="13.5" customHeight="1" x14ac:dyDescent="0.2"/>
    <row r="913" s="51" customFormat="1" ht="13.5" customHeight="1" x14ac:dyDescent="0.2"/>
    <row r="914" s="51" customFormat="1" ht="13.5" customHeight="1" x14ac:dyDescent="0.2"/>
    <row r="915" s="51" customFormat="1" ht="13.5" customHeight="1" x14ac:dyDescent="0.2"/>
    <row r="916" s="51" customFormat="1" ht="13.5" customHeight="1" x14ac:dyDescent="0.2"/>
    <row r="917" s="51" customFormat="1" ht="13.5" customHeight="1" x14ac:dyDescent="0.2"/>
    <row r="918" s="51" customFormat="1" ht="13.5" customHeight="1" x14ac:dyDescent="0.2"/>
    <row r="919" s="51" customFormat="1" ht="13.5" customHeight="1" x14ac:dyDescent="0.2"/>
    <row r="920" s="51" customFormat="1" ht="13.5" customHeight="1" x14ac:dyDescent="0.2"/>
    <row r="921" s="51" customFormat="1" ht="13.5" customHeight="1" x14ac:dyDescent="0.2"/>
    <row r="922" s="51" customFormat="1" ht="13.5" customHeight="1" x14ac:dyDescent="0.2"/>
    <row r="923" s="51" customFormat="1" ht="13.5" customHeight="1" x14ac:dyDescent="0.2"/>
    <row r="924" s="51" customFormat="1" ht="13.5" customHeight="1" x14ac:dyDescent="0.2"/>
    <row r="925" s="51" customFormat="1" ht="13.5" customHeight="1" x14ac:dyDescent="0.2"/>
    <row r="926" s="51" customFormat="1" ht="13.5" customHeight="1" x14ac:dyDescent="0.2"/>
    <row r="927" s="51" customFormat="1" ht="13.5" customHeight="1" x14ac:dyDescent="0.2"/>
    <row r="928" s="51" customFormat="1" ht="13.5" customHeight="1" x14ac:dyDescent="0.2"/>
    <row r="929" s="51" customFormat="1" ht="13.5" customHeight="1" x14ac:dyDescent="0.2"/>
    <row r="930" s="51" customFormat="1" ht="13.5" customHeight="1" x14ac:dyDescent="0.2"/>
    <row r="931" s="51" customFormat="1" ht="13.5" customHeight="1" x14ac:dyDescent="0.2"/>
    <row r="932" s="51" customFormat="1" ht="13.5" customHeight="1" x14ac:dyDescent="0.2"/>
    <row r="933" s="51" customFormat="1" ht="13.5" customHeight="1" x14ac:dyDescent="0.2"/>
    <row r="934" s="51" customFormat="1" ht="13.5" customHeight="1" x14ac:dyDescent="0.2"/>
    <row r="935" s="51" customFormat="1" ht="13.5" customHeight="1" x14ac:dyDescent="0.2"/>
    <row r="936" s="51" customFormat="1" ht="13.5" customHeight="1" x14ac:dyDescent="0.2"/>
    <row r="937" s="51" customFormat="1" ht="13.5" customHeight="1" x14ac:dyDescent="0.2"/>
    <row r="938" s="51" customFormat="1" ht="13.5" customHeight="1" x14ac:dyDescent="0.2"/>
    <row r="939" s="51" customFormat="1" ht="13.5" customHeight="1" x14ac:dyDescent="0.2"/>
    <row r="940" s="51" customFormat="1" ht="13.5" customHeight="1" x14ac:dyDescent="0.2"/>
    <row r="941" s="51" customFormat="1" ht="13.5" customHeight="1" x14ac:dyDescent="0.2"/>
    <row r="942" s="51" customFormat="1" ht="13.5" customHeight="1" x14ac:dyDescent="0.2"/>
    <row r="943" s="51" customFormat="1" ht="13.5" customHeight="1" x14ac:dyDescent="0.2"/>
    <row r="944" s="51" customFormat="1" ht="13.5" customHeight="1" x14ac:dyDescent="0.2"/>
    <row r="945" s="51" customFormat="1" ht="13.5" customHeight="1" x14ac:dyDescent="0.2"/>
    <row r="946" s="51" customFormat="1" ht="13.5" customHeight="1" x14ac:dyDescent="0.2"/>
    <row r="947" s="51" customFormat="1" ht="13.5" customHeight="1" x14ac:dyDescent="0.2"/>
    <row r="948" s="51" customFormat="1" ht="13.5" customHeight="1" x14ac:dyDescent="0.2"/>
    <row r="949" s="51" customFormat="1" ht="13.5" customHeight="1" x14ac:dyDescent="0.2"/>
    <row r="950" s="51" customFormat="1" ht="13.5" customHeight="1" x14ac:dyDescent="0.2"/>
    <row r="951" s="51" customFormat="1" ht="13.5" customHeight="1" x14ac:dyDescent="0.2"/>
    <row r="952" s="51" customFormat="1" ht="13.5" customHeight="1" x14ac:dyDescent="0.2"/>
    <row r="953" s="51" customFormat="1" ht="13.5" customHeight="1" x14ac:dyDescent="0.2"/>
    <row r="954" s="51" customFormat="1" ht="13.5" customHeight="1" x14ac:dyDescent="0.2"/>
    <row r="955" s="51" customFormat="1" ht="13.5" customHeight="1" x14ac:dyDescent="0.2"/>
    <row r="956" s="51" customFormat="1" ht="13.5" customHeight="1" x14ac:dyDescent="0.2"/>
    <row r="957" s="51" customFormat="1" ht="13.5" customHeight="1" x14ac:dyDescent="0.2"/>
    <row r="958" s="51" customFormat="1" ht="13.5" customHeight="1" x14ac:dyDescent="0.2"/>
    <row r="959" s="51" customFormat="1" ht="13.5" customHeight="1" x14ac:dyDescent="0.2"/>
    <row r="960" s="51" customFormat="1" ht="13.5" customHeight="1" x14ac:dyDescent="0.2"/>
    <row r="961" s="51" customFormat="1" ht="13.5" customHeight="1" x14ac:dyDescent="0.2"/>
    <row r="962" s="51" customFormat="1" ht="13.5" customHeight="1" x14ac:dyDescent="0.2"/>
    <row r="963" s="51" customFormat="1" ht="13.5" customHeight="1" x14ac:dyDescent="0.2"/>
    <row r="964" s="51" customFormat="1" ht="13.5" customHeight="1" x14ac:dyDescent="0.2"/>
    <row r="965" s="51" customFormat="1" ht="13.5" customHeight="1" x14ac:dyDescent="0.2"/>
    <row r="966" s="51" customFormat="1" ht="13.5" customHeight="1" x14ac:dyDescent="0.2"/>
    <row r="967" s="51" customFormat="1" ht="13.5" customHeight="1" x14ac:dyDescent="0.2"/>
    <row r="968" s="51" customFormat="1" ht="13.5" customHeight="1" x14ac:dyDescent="0.2"/>
    <row r="969" s="51" customFormat="1" ht="13.5" customHeight="1" x14ac:dyDescent="0.2"/>
    <row r="970" s="51" customFormat="1" ht="13.5" customHeight="1" x14ac:dyDescent="0.2"/>
    <row r="971" s="51" customFormat="1" ht="13.5" customHeight="1" x14ac:dyDescent="0.2"/>
    <row r="972" s="51" customFormat="1" ht="13.5" customHeight="1" x14ac:dyDescent="0.2"/>
    <row r="973" s="51" customFormat="1" ht="13.5" customHeight="1" x14ac:dyDescent="0.2"/>
    <row r="974" s="51" customFormat="1" ht="13.5" customHeight="1" x14ac:dyDescent="0.2"/>
    <row r="975" s="51" customFormat="1" ht="13.5" customHeight="1" x14ac:dyDescent="0.2"/>
    <row r="976" s="51" customFormat="1" ht="13.5" customHeight="1" x14ac:dyDescent="0.2"/>
    <row r="977" s="51" customFormat="1" ht="13.5" customHeight="1" x14ac:dyDescent="0.2"/>
    <row r="978" s="51" customFormat="1" ht="13.5" customHeight="1" x14ac:dyDescent="0.2"/>
    <row r="979" s="51" customFormat="1" ht="13.5" customHeight="1" x14ac:dyDescent="0.2"/>
    <row r="980" s="51" customFormat="1" ht="13.5" customHeight="1" x14ac:dyDescent="0.2"/>
    <row r="981" s="51" customFormat="1" ht="13.5" customHeight="1" x14ac:dyDescent="0.2"/>
    <row r="982" s="51" customFormat="1" ht="13.5" customHeight="1" x14ac:dyDescent="0.2"/>
    <row r="983" s="51" customFormat="1" ht="13.5" customHeight="1" x14ac:dyDescent="0.2"/>
    <row r="984" s="51" customFormat="1" ht="13.5" customHeight="1" x14ac:dyDescent="0.2"/>
    <row r="985" s="51" customFormat="1" ht="13.5" customHeight="1" x14ac:dyDescent="0.2"/>
    <row r="986" s="51" customFormat="1" ht="13.5" customHeight="1" x14ac:dyDescent="0.2"/>
    <row r="987" s="51" customFormat="1" ht="13.5" customHeight="1" x14ac:dyDescent="0.2"/>
    <row r="988" s="51" customFormat="1" ht="13.5" customHeight="1" x14ac:dyDescent="0.2"/>
    <row r="989" s="51" customFormat="1" ht="13.5" customHeight="1" x14ac:dyDescent="0.2"/>
    <row r="990" s="51" customFormat="1" ht="13.5" customHeight="1" x14ac:dyDescent="0.2"/>
    <row r="991" s="51" customFormat="1" ht="13.5" customHeight="1" x14ac:dyDescent="0.2"/>
    <row r="992" s="51" customFormat="1" ht="13.5" customHeight="1" x14ac:dyDescent="0.2"/>
    <row r="993" s="51" customFormat="1" ht="13.5" customHeight="1" x14ac:dyDescent="0.2"/>
    <row r="994" s="51" customFormat="1" ht="13.5" customHeight="1" x14ac:dyDescent="0.2"/>
    <row r="995" s="51" customFormat="1" ht="13.5" customHeight="1" x14ac:dyDescent="0.2"/>
    <row r="996" s="51" customFormat="1" ht="13.5" customHeight="1" x14ac:dyDescent="0.2"/>
    <row r="997" s="51" customFormat="1" ht="13.5" customHeight="1" x14ac:dyDescent="0.2"/>
    <row r="998" s="51" customFormat="1" ht="13.5" customHeight="1" x14ac:dyDescent="0.2"/>
    <row r="999" s="51" customFormat="1" ht="13.5" customHeight="1" x14ac:dyDescent="0.2"/>
    <row r="1000" s="51" customFormat="1" ht="13.5" customHeight="1" x14ac:dyDescent="0.2"/>
    <row r="1001" s="51" customFormat="1" ht="13.5" customHeight="1" x14ac:dyDescent="0.2"/>
  </sheetData>
  <mergeCells count="4">
    <mergeCell ref="C3:O4"/>
    <mergeCell ref="E6:I6"/>
    <mergeCell ref="E7:I7"/>
    <mergeCell ref="E8:I8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N1000"/>
  <sheetViews>
    <sheetView showGridLines="0" workbookViewId="0">
      <selection activeCell="B23" sqref="B23:N23"/>
    </sheetView>
  </sheetViews>
  <sheetFormatPr baseColWidth="10" defaultColWidth="12.6640625" defaultRowHeight="15" customHeight="1" x14ac:dyDescent="0.2"/>
  <cols>
    <col min="1" max="1" width="3.33203125" style="51" customWidth="1"/>
    <col min="2" max="2" width="31" style="51" customWidth="1"/>
    <col min="3" max="14" width="12" style="51" customWidth="1"/>
    <col min="15" max="27" width="8.83203125" style="51" customWidth="1"/>
    <col min="28" max="16384" width="12.6640625" style="51"/>
  </cols>
  <sheetData>
    <row r="2" spans="2:14" ht="13.5" customHeight="1" x14ac:dyDescent="0.2">
      <c r="B2" s="57" t="s">
        <v>331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</row>
    <row r="3" spans="2:14" ht="13.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</row>
    <row r="4" spans="2:14" ht="13.5" customHeight="1" x14ac:dyDescent="0.2">
      <c r="B4" s="74" t="s">
        <v>334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6" spans="2:14" ht="13.5" customHeight="1" x14ac:dyDescent="0.2">
      <c r="B6" s="50" t="s">
        <v>183</v>
      </c>
      <c r="C6" s="18">
        <v>46388</v>
      </c>
      <c r="D6" s="18">
        <v>46419</v>
      </c>
      <c r="E6" s="18">
        <v>46447</v>
      </c>
      <c r="F6" s="18">
        <v>46478</v>
      </c>
      <c r="G6" s="18">
        <v>46508</v>
      </c>
      <c r="H6" s="18">
        <v>46539</v>
      </c>
      <c r="I6" s="18">
        <v>46569</v>
      </c>
      <c r="J6" s="18">
        <v>46600</v>
      </c>
      <c r="K6" s="18">
        <v>46631</v>
      </c>
      <c r="L6" s="18">
        <v>46661</v>
      </c>
      <c r="M6" s="18">
        <v>46692</v>
      </c>
      <c r="N6" s="18">
        <v>46722</v>
      </c>
    </row>
    <row r="7" spans="2:14" ht="13.5" customHeight="1" x14ac:dyDescent="0.2"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2:14" ht="13.5" customHeight="1" x14ac:dyDescent="0.2">
      <c r="B8" s="19" t="s">
        <v>242</v>
      </c>
      <c r="C8" s="21">
        <f>Revenue!C$45</f>
        <v>600.22481999999991</v>
      </c>
      <c r="D8" s="21">
        <f>Revenue!D$45</f>
        <v>638.04222424005377</v>
      </c>
      <c r="E8" s="21">
        <f>Revenue!E$45</f>
        <v>677.93303532814321</v>
      </c>
      <c r="F8" s="21">
        <f>Revenue!F$45</f>
        <v>721.0177993331472</v>
      </c>
      <c r="G8" s="21">
        <f>Revenue!G$45</f>
        <v>768.40397083007724</v>
      </c>
      <c r="H8" s="21">
        <f>Revenue!H$45</f>
        <v>820.06744997453529</v>
      </c>
      <c r="I8" s="21">
        <f>Revenue!I$45</f>
        <v>875.98428216140269</v>
      </c>
      <c r="J8" s="21">
        <f>Revenue!J$45</f>
        <v>936.1306571536436</v>
      </c>
      <c r="K8" s="21">
        <f>Revenue!K$45</f>
        <v>1000.4829082163373</v>
      </c>
      <c r="L8" s="21">
        <f>Revenue!L$45</f>
        <v>1069.0175112559045</v>
      </c>
      <c r="M8" s="21">
        <f>Revenue!M$45</f>
        <v>1141.7110839645009</v>
      </c>
      <c r="N8" s="21">
        <f>Revenue!N$45</f>
        <v>1218.5403849695419</v>
      </c>
    </row>
    <row r="9" spans="2:14" ht="13.5" customHeight="1" x14ac:dyDescent="0.2">
      <c r="B9" s="19" t="s">
        <v>199</v>
      </c>
      <c r="C9" s="21">
        <f>Revenue!C$47</f>
        <v>27.34</v>
      </c>
      <c r="D9" s="21">
        <f>Revenue!D$47</f>
        <v>28.837626666666669</v>
      </c>
      <c r="E9" s="21">
        <f>Revenue!E$47</f>
        <v>31.149630906666669</v>
      </c>
      <c r="F9" s="21">
        <f>Revenue!F$47</f>
        <v>34.266186274560006</v>
      </c>
      <c r="G9" s="21">
        <f>Revenue!G$47</f>
        <v>37.364042310245971</v>
      </c>
      <c r="H9" s="21">
        <f>Revenue!H$47</f>
        <v>40.443311209717841</v>
      </c>
      <c r="I9" s="21">
        <f>Revenue!I$47</f>
        <v>43.504104495792859</v>
      </c>
      <c r="J9" s="21">
        <f>Revenue!J$47</f>
        <v>46.546533022151444</v>
      </c>
      <c r="K9" s="21">
        <f>Revenue!K$47</f>
        <v>49.570706977351868</v>
      </c>
      <c r="L9" s="21">
        <f>Revenue!L$47</f>
        <v>52.576735888821091</v>
      </c>
      <c r="M9" s="21">
        <f>Revenue!M$47</f>
        <v>55.564728626821505</v>
      </c>
      <c r="N9" s="21">
        <f>Revenue!N$47</f>
        <v>58.534793408393902</v>
      </c>
    </row>
    <row r="10" spans="2:14" ht="13.5" customHeight="1" x14ac:dyDescent="0.2">
      <c r="B10" s="22" t="s">
        <v>335</v>
      </c>
      <c r="C10" s="23">
        <f t="shared" ref="C10:N10" si="0">SUM(C8:C9)</f>
        <v>627.56481999999994</v>
      </c>
      <c r="D10" s="23">
        <f t="shared" si="0"/>
        <v>666.87985090672043</v>
      </c>
      <c r="E10" s="23">
        <f t="shared" si="0"/>
        <v>709.08266623480984</v>
      </c>
      <c r="F10" s="23">
        <f t="shared" si="0"/>
        <v>755.28398560770722</v>
      </c>
      <c r="G10" s="23">
        <f t="shared" si="0"/>
        <v>805.76801314032321</v>
      </c>
      <c r="H10" s="23">
        <f t="shared" si="0"/>
        <v>860.51076118425317</v>
      </c>
      <c r="I10" s="23">
        <f t="shared" si="0"/>
        <v>919.48838665719552</v>
      </c>
      <c r="J10" s="23">
        <f t="shared" si="0"/>
        <v>982.67719017579509</v>
      </c>
      <c r="K10" s="23">
        <f t="shared" si="0"/>
        <v>1050.0536151936892</v>
      </c>
      <c r="L10" s="23">
        <f t="shared" si="0"/>
        <v>1121.5942471447256</v>
      </c>
      <c r="M10" s="23">
        <f t="shared" si="0"/>
        <v>1197.2758125913224</v>
      </c>
      <c r="N10" s="23">
        <f t="shared" si="0"/>
        <v>1277.0751783779358</v>
      </c>
    </row>
    <row r="11" spans="2:14" ht="13.5" customHeight="1" x14ac:dyDescent="0.2">
      <c r="B11" s="19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2:14" ht="13.5" customHeight="1" x14ac:dyDescent="0.2">
      <c r="B12" s="19" t="s">
        <v>110</v>
      </c>
      <c r="C12" s="21">
        <f>OpEx!C$11</f>
        <v>108.04046759999999</v>
      </c>
      <c r="D12" s="21">
        <f>OpEx!D$11</f>
        <v>114.84760036320968</v>
      </c>
      <c r="E12" s="21">
        <f>OpEx!E$11</f>
        <v>122.02794635906577</v>
      </c>
      <c r="F12" s="21">
        <f>OpEx!F$11</f>
        <v>129.78320387996649</v>
      </c>
      <c r="G12" s="21">
        <f>OpEx!G$11</f>
        <v>138.31271474941389</v>
      </c>
      <c r="H12" s="21">
        <f>OpEx!H$11</f>
        <v>147.61214099541635</v>
      </c>
      <c r="I12" s="21">
        <f>OpEx!I$11</f>
        <v>157.67717078905247</v>
      </c>
      <c r="J12" s="21">
        <f>OpEx!J$11</f>
        <v>168.50351828765585</v>
      </c>
      <c r="K12" s="21">
        <f>OpEx!K$11</f>
        <v>180.08692347894069</v>
      </c>
      <c r="L12" s="21">
        <f>OpEx!L$11</f>
        <v>192.42315202606281</v>
      </c>
      <c r="M12" s="21">
        <f>OpEx!M$11</f>
        <v>205.50799511361015</v>
      </c>
      <c r="N12" s="21">
        <f>OpEx!N$11</f>
        <v>219.33726929451754</v>
      </c>
    </row>
    <row r="13" spans="2:14" ht="13.5" customHeight="1" x14ac:dyDescent="0.2">
      <c r="B13" s="19" t="s">
        <v>113</v>
      </c>
      <c r="C13" s="21">
        <f>OpEx!C$14</f>
        <v>12.303000000000001</v>
      </c>
      <c r="D13" s="21">
        <f>OpEx!D$14</f>
        <v>12.976932000000001</v>
      </c>
      <c r="E13" s="21">
        <f>OpEx!E$14</f>
        <v>14.017333908000001</v>
      </c>
      <c r="F13" s="21">
        <f>OpEx!F$14</f>
        <v>15.419783823552002</v>
      </c>
      <c r="G13" s="21">
        <f>OpEx!G$14</f>
        <v>16.813819039610689</v>
      </c>
      <c r="H13" s="21">
        <f>OpEx!H$14</f>
        <v>18.199490044373029</v>
      </c>
      <c r="I13" s="21">
        <f>OpEx!I$14</f>
        <v>19.576847023106787</v>
      </c>
      <c r="J13" s="21">
        <f>OpEx!J$14</f>
        <v>20.945939859968149</v>
      </c>
      <c r="K13" s="21">
        <f>OpEx!K$14</f>
        <v>22.306818139808342</v>
      </c>
      <c r="L13" s="21">
        <f>OpEx!L$14</f>
        <v>23.659531149969492</v>
      </c>
      <c r="M13" s="21">
        <f>OpEx!M$14</f>
        <v>25.004127882069678</v>
      </c>
      <c r="N13" s="21">
        <f>OpEx!N$14</f>
        <v>26.340657033777255</v>
      </c>
    </row>
    <row r="14" spans="2:14" ht="13.5" customHeight="1" x14ac:dyDescent="0.2">
      <c r="B14" s="19" t="s">
        <v>245</v>
      </c>
      <c r="C14" s="31">
        <f t="shared" ref="C14:N14" si="1">SUM(C12:C13)</f>
        <v>120.34346759999998</v>
      </c>
      <c r="D14" s="31">
        <f t="shared" si="1"/>
        <v>127.82453236320968</v>
      </c>
      <c r="E14" s="31">
        <f t="shared" si="1"/>
        <v>136.04528026706578</v>
      </c>
      <c r="F14" s="31">
        <f t="shared" si="1"/>
        <v>145.20298770351849</v>
      </c>
      <c r="G14" s="31">
        <f t="shared" si="1"/>
        <v>155.12653378902456</v>
      </c>
      <c r="H14" s="31">
        <f t="shared" si="1"/>
        <v>165.81163103978938</v>
      </c>
      <c r="I14" s="31">
        <f t="shared" si="1"/>
        <v>177.25401781215925</v>
      </c>
      <c r="J14" s="31">
        <f t="shared" si="1"/>
        <v>189.449458147624</v>
      </c>
      <c r="K14" s="31">
        <f t="shared" si="1"/>
        <v>202.39374161874903</v>
      </c>
      <c r="L14" s="31">
        <f t="shared" si="1"/>
        <v>216.0826831760323</v>
      </c>
      <c r="M14" s="31">
        <f t="shared" si="1"/>
        <v>230.51212299567982</v>
      </c>
      <c r="N14" s="31">
        <f t="shared" si="1"/>
        <v>245.6779263282948</v>
      </c>
    </row>
    <row r="15" spans="2:14" ht="13.5" customHeight="1" x14ac:dyDescent="0.2">
      <c r="B15" s="22" t="s">
        <v>246</v>
      </c>
      <c r="C15" s="23">
        <f t="shared" ref="C15:N15" si="2">C10-C14</f>
        <v>507.22135239999994</v>
      </c>
      <c r="D15" s="23">
        <f t="shared" si="2"/>
        <v>539.05531854351079</v>
      </c>
      <c r="E15" s="23">
        <f t="shared" si="2"/>
        <v>573.03738596774406</v>
      </c>
      <c r="F15" s="23">
        <f t="shared" si="2"/>
        <v>610.08099790418873</v>
      </c>
      <c r="G15" s="23">
        <f t="shared" si="2"/>
        <v>650.64147935129859</v>
      </c>
      <c r="H15" s="23">
        <f t="shared" si="2"/>
        <v>694.69913014446377</v>
      </c>
      <c r="I15" s="23">
        <f t="shared" si="2"/>
        <v>742.23436884503622</v>
      </c>
      <c r="J15" s="23">
        <f t="shared" si="2"/>
        <v>793.22773202817109</v>
      </c>
      <c r="K15" s="23">
        <f t="shared" si="2"/>
        <v>847.65987357494021</v>
      </c>
      <c r="L15" s="23">
        <f t="shared" si="2"/>
        <v>905.51156396869328</v>
      </c>
      <c r="M15" s="23">
        <f t="shared" si="2"/>
        <v>966.76368959564252</v>
      </c>
      <c r="N15" s="23">
        <f t="shared" si="2"/>
        <v>1031.3972520496409</v>
      </c>
    </row>
    <row r="16" spans="2:14" ht="13.5" customHeight="1" x14ac:dyDescent="0.2">
      <c r="B16" s="19" t="s">
        <v>247</v>
      </c>
      <c r="C16" s="38">
        <f t="shared" ref="C16:N16" si="3">IFERROR(C15/C10,0)</f>
        <v>0.80823739036232145</v>
      </c>
      <c r="D16" s="38">
        <f t="shared" si="3"/>
        <v>0.80832449475057078</v>
      </c>
      <c r="E16" s="38">
        <f t="shared" si="3"/>
        <v>0.80813904112272439</v>
      </c>
      <c r="F16" s="38">
        <f t="shared" si="3"/>
        <v>0.80775047469504191</v>
      </c>
      <c r="G16" s="38">
        <f t="shared" si="3"/>
        <v>0.80747990580508489</v>
      </c>
      <c r="H16" s="38">
        <f t="shared" si="3"/>
        <v>0.80731021793196878</v>
      </c>
      <c r="I16" s="38">
        <f t="shared" si="3"/>
        <v>0.80722538709100267</v>
      </c>
      <c r="J16" s="38">
        <f t="shared" si="3"/>
        <v>0.80721089281238667</v>
      </c>
      <c r="K16" s="38">
        <f t="shared" si="3"/>
        <v>0.80725389761986943</v>
      </c>
      <c r="L16" s="38">
        <f t="shared" si="3"/>
        <v>0.80734326720547989</v>
      </c>
      <c r="M16" s="38">
        <f t="shared" si="3"/>
        <v>0.80746948984397238</v>
      </c>
      <c r="N16" s="38">
        <f t="shared" si="3"/>
        <v>0.80762453887770314</v>
      </c>
    </row>
    <row r="17" spans="2:14" ht="13.5" customHeight="1" x14ac:dyDescent="0.2">
      <c r="B17" s="19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2:14" ht="13.5" customHeight="1" x14ac:dyDescent="0.2">
      <c r="B18" s="19" t="s">
        <v>43</v>
      </c>
      <c r="C18" s="21">
        <f>OpEx!C$25</f>
        <v>702.78874999999994</v>
      </c>
      <c r="D18" s="21">
        <f>OpEx!D$25</f>
        <v>738.25951750000002</v>
      </c>
      <c r="E18" s="21">
        <f>OpEx!E$25</f>
        <v>773.51746039499994</v>
      </c>
      <c r="F18" s="21">
        <f>OpEx!F$25</f>
        <v>808.56385563263007</v>
      </c>
      <c r="G18" s="21">
        <f>OpEx!G$25</f>
        <v>843.39997249883425</v>
      </c>
      <c r="H18" s="21">
        <f>OpEx!H$25</f>
        <v>878.02707266384107</v>
      </c>
      <c r="I18" s="21">
        <f>OpEx!I$25</f>
        <v>912.44641022785822</v>
      </c>
      <c r="J18" s="21">
        <f>OpEx!J$25</f>
        <v>946.65923176649096</v>
      </c>
      <c r="K18" s="21">
        <f>OpEx!K$25</f>
        <v>980.66677637589203</v>
      </c>
      <c r="L18" s="21">
        <f>OpEx!L$25</f>
        <v>1014.4702757176366</v>
      </c>
      <c r="M18" s="21">
        <f>OpEx!M$25</f>
        <v>1048.0709540633309</v>
      </c>
      <c r="N18" s="21">
        <f>OpEx!N$25</f>
        <v>1081.4700283389509</v>
      </c>
    </row>
    <row r="19" spans="2:14" ht="13.5" customHeight="1" x14ac:dyDescent="0.2">
      <c r="B19" s="19" t="s">
        <v>336</v>
      </c>
      <c r="C19" s="21">
        <f>OpEx!C$32</f>
        <v>440</v>
      </c>
      <c r="D19" s="21">
        <f>OpEx!D$32</f>
        <v>440</v>
      </c>
      <c r="E19" s="21">
        <f>OpEx!E$32</f>
        <v>440</v>
      </c>
      <c r="F19" s="21">
        <f>OpEx!F$32</f>
        <v>440</v>
      </c>
      <c r="G19" s="21">
        <f>OpEx!G$32</f>
        <v>440</v>
      </c>
      <c r="H19" s="21">
        <f>OpEx!H$32</f>
        <v>440</v>
      </c>
      <c r="I19" s="21">
        <f>OpEx!I$32</f>
        <v>440</v>
      </c>
      <c r="J19" s="21">
        <f>OpEx!J$32</f>
        <v>440</v>
      </c>
      <c r="K19" s="21">
        <f>OpEx!K$32</f>
        <v>440</v>
      </c>
      <c r="L19" s="21">
        <f>OpEx!L$32</f>
        <v>440</v>
      </c>
      <c r="M19" s="21">
        <f>OpEx!M$32</f>
        <v>440</v>
      </c>
      <c r="N19" s="21">
        <f>OpEx!N$32</f>
        <v>440</v>
      </c>
    </row>
    <row r="20" spans="2:14" ht="13.5" customHeight="1" x14ac:dyDescent="0.2">
      <c r="B20" s="19" t="s">
        <v>263</v>
      </c>
      <c r="C20" s="31">
        <f t="shared" ref="C20:N20" si="4">SUM(C18:C19)</f>
        <v>1142.7887499999999</v>
      </c>
      <c r="D20" s="31">
        <f t="shared" si="4"/>
        <v>1178.2595175000001</v>
      </c>
      <c r="E20" s="31">
        <f t="shared" si="4"/>
        <v>1213.5174603949999</v>
      </c>
      <c r="F20" s="31">
        <f t="shared" si="4"/>
        <v>1248.5638556326301</v>
      </c>
      <c r="G20" s="31">
        <f t="shared" si="4"/>
        <v>1283.3999724988344</v>
      </c>
      <c r="H20" s="31">
        <f t="shared" si="4"/>
        <v>1318.027072663841</v>
      </c>
      <c r="I20" s="31">
        <f t="shared" si="4"/>
        <v>1352.4464102278582</v>
      </c>
      <c r="J20" s="31">
        <f t="shared" si="4"/>
        <v>1386.6592317664908</v>
      </c>
      <c r="K20" s="31">
        <f t="shared" si="4"/>
        <v>1420.6667763758919</v>
      </c>
      <c r="L20" s="31">
        <f t="shared" si="4"/>
        <v>1454.4702757176365</v>
      </c>
      <c r="M20" s="31">
        <f t="shared" si="4"/>
        <v>1488.0709540633309</v>
      </c>
      <c r="N20" s="31">
        <f t="shared" si="4"/>
        <v>1521.4700283389509</v>
      </c>
    </row>
    <row r="21" spans="2:14" ht="13.5" customHeight="1" x14ac:dyDescent="0.2">
      <c r="B21" s="22" t="s">
        <v>47</v>
      </c>
      <c r="C21" s="23">
        <f t="shared" ref="C21:N21" si="5">C15-C20</f>
        <v>-635.56739760000005</v>
      </c>
      <c r="D21" s="23">
        <f t="shared" si="5"/>
        <v>-639.20419895648934</v>
      </c>
      <c r="E21" s="23">
        <f t="shared" si="5"/>
        <v>-640.48007442725589</v>
      </c>
      <c r="F21" s="23">
        <f t="shared" si="5"/>
        <v>-638.48285772844133</v>
      </c>
      <c r="G21" s="23">
        <f t="shared" si="5"/>
        <v>-632.75849314753577</v>
      </c>
      <c r="H21" s="23">
        <f t="shared" si="5"/>
        <v>-623.32794251937719</v>
      </c>
      <c r="I21" s="23">
        <f t="shared" si="5"/>
        <v>-610.21204138282201</v>
      </c>
      <c r="J21" s="23">
        <f t="shared" si="5"/>
        <v>-593.43149973831976</v>
      </c>
      <c r="K21" s="23">
        <f t="shared" si="5"/>
        <v>-573.00690280095171</v>
      </c>
      <c r="L21" s="23">
        <f t="shared" si="5"/>
        <v>-548.95871174894319</v>
      </c>
      <c r="M21" s="23">
        <f t="shared" si="5"/>
        <v>-521.30726446768836</v>
      </c>
      <c r="N21" s="23">
        <f t="shared" si="5"/>
        <v>-490.07277628931001</v>
      </c>
    </row>
    <row r="22" spans="2:14" ht="13.5" customHeight="1" x14ac:dyDescent="0.2">
      <c r="B22" s="19" t="s">
        <v>262</v>
      </c>
      <c r="C22" s="38">
        <f t="shared" ref="C22:N22" si="6">IFERROR(C21/C10,0)</f>
        <v>-1.0127517944680202</v>
      </c>
      <c r="D22" s="38">
        <f t="shared" si="6"/>
        <v>-0.95849979285983522</v>
      </c>
      <c r="E22" s="38">
        <f t="shared" si="6"/>
        <v>-0.90325163048783863</v>
      </c>
      <c r="F22" s="38">
        <f t="shared" si="6"/>
        <v>-0.84535468763409993</v>
      </c>
      <c r="G22" s="38">
        <f t="shared" si="6"/>
        <v>-0.78528619010511891</v>
      </c>
      <c r="H22" s="38">
        <f t="shared" si="6"/>
        <v>-0.72436972393179611</v>
      </c>
      <c r="I22" s="38">
        <f t="shared" si="6"/>
        <v>-0.66364301087178579</v>
      </c>
      <c r="J22" s="38">
        <f t="shared" si="6"/>
        <v>-0.60389261669150818</v>
      </c>
      <c r="K22" s="38">
        <f t="shared" si="6"/>
        <v>-0.5456929955859986</v>
      </c>
      <c r="L22" s="38">
        <f t="shared" si="6"/>
        <v>-0.48944501377966498</v>
      </c>
      <c r="M22" s="38">
        <f t="shared" si="6"/>
        <v>-0.43541117174947153</v>
      </c>
      <c r="N22" s="38">
        <f t="shared" si="6"/>
        <v>-0.38374622307808925</v>
      </c>
    </row>
    <row r="23" spans="2:14" ht="13.5" customHeight="1" x14ac:dyDescent="0.2">
      <c r="B23" s="1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2:14" ht="13.5" customHeight="1" x14ac:dyDescent="0.2">
      <c r="B24" s="19" t="s">
        <v>337</v>
      </c>
      <c r="C24" s="21">
        <f>'FA &amp; D&amp;A'!C$17</f>
        <v>27.222222222222221</v>
      </c>
      <c r="D24" s="21">
        <f>'FA &amp; D&amp;A'!D$17</f>
        <v>29.444444444444443</v>
      </c>
      <c r="E24" s="21">
        <f>'FA &amp; D&amp;A'!E$17</f>
        <v>31.666666666666668</v>
      </c>
      <c r="F24" s="21">
        <f>'FA &amp; D&amp;A'!F$17</f>
        <v>33.888888888888886</v>
      </c>
      <c r="G24" s="21">
        <f>'FA &amp; D&amp;A'!G$17</f>
        <v>36.111111111111114</v>
      </c>
      <c r="H24" s="21">
        <f>'FA &amp; D&amp;A'!H$17</f>
        <v>38.333333333333336</v>
      </c>
      <c r="I24" s="21">
        <f>'FA &amp; D&amp;A'!I$17</f>
        <v>40.555555555555557</v>
      </c>
      <c r="J24" s="21">
        <f>'FA &amp; D&amp;A'!J$17</f>
        <v>42.777777777777779</v>
      </c>
      <c r="K24" s="21">
        <f>'FA &amp; D&amp;A'!K$17</f>
        <v>45</v>
      </c>
      <c r="L24" s="21">
        <f>'FA &amp; D&amp;A'!L$17</f>
        <v>47.222222222222221</v>
      </c>
      <c r="M24" s="21">
        <f>'FA &amp; D&amp;A'!M$17</f>
        <v>49.444444444444443</v>
      </c>
      <c r="N24" s="21">
        <f>'FA &amp; D&amp;A'!N$17</f>
        <v>51.666666666666671</v>
      </c>
    </row>
    <row r="25" spans="2:14" ht="13.5" customHeight="1" x14ac:dyDescent="0.2">
      <c r="B25" s="19" t="s">
        <v>315</v>
      </c>
      <c r="C25" s="31">
        <f t="shared" ref="C25:N25" si="7">C21-C24</f>
        <v>-662.78961982222222</v>
      </c>
      <c r="D25" s="31">
        <f t="shared" si="7"/>
        <v>-668.64864340093379</v>
      </c>
      <c r="E25" s="31">
        <f t="shared" si="7"/>
        <v>-672.14674109392251</v>
      </c>
      <c r="F25" s="31">
        <f t="shared" si="7"/>
        <v>-672.37174661733025</v>
      </c>
      <c r="G25" s="31">
        <f t="shared" si="7"/>
        <v>-668.86960425864686</v>
      </c>
      <c r="H25" s="31">
        <f t="shared" si="7"/>
        <v>-661.66127585271056</v>
      </c>
      <c r="I25" s="31">
        <f t="shared" si="7"/>
        <v>-650.76759693837755</v>
      </c>
      <c r="J25" s="31">
        <f t="shared" si="7"/>
        <v>-636.20927751609759</v>
      </c>
      <c r="K25" s="31">
        <f t="shared" si="7"/>
        <v>-618.00690280095171</v>
      </c>
      <c r="L25" s="31">
        <f t="shared" si="7"/>
        <v>-596.18093397116536</v>
      </c>
      <c r="M25" s="31">
        <f t="shared" si="7"/>
        <v>-570.75170891213281</v>
      </c>
      <c r="N25" s="31">
        <f t="shared" si="7"/>
        <v>-541.73944295597664</v>
      </c>
    </row>
    <row r="26" spans="2:14" ht="13.5" customHeight="1" x14ac:dyDescent="0.2">
      <c r="B26" s="19" t="s">
        <v>312</v>
      </c>
      <c r="C26" s="21">
        <f>'Fin, Tax &amp; Equity'!C$14</f>
        <v>9.8333333333333339</v>
      </c>
      <c r="D26" s="21">
        <f>'Fin, Tax &amp; Equity'!D$14</f>
        <v>9.5</v>
      </c>
      <c r="E26" s="21">
        <f>'Fin, Tax &amp; Equity'!E$14</f>
        <v>9.1666666666666661</v>
      </c>
      <c r="F26" s="21">
        <f>'Fin, Tax &amp; Equity'!F$14</f>
        <v>8.8333333333333339</v>
      </c>
      <c r="G26" s="21">
        <f>'Fin, Tax &amp; Equity'!G$14</f>
        <v>8.5</v>
      </c>
      <c r="H26" s="21">
        <f>'Fin, Tax &amp; Equity'!H$14</f>
        <v>8.1666666666666661</v>
      </c>
      <c r="I26" s="21">
        <f>'Fin, Tax &amp; Equity'!I$14</f>
        <v>7.833333333333333</v>
      </c>
      <c r="J26" s="21">
        <f>'Fin, Tax &amp; Equity'!J$14</f>
        <v>7.5</v>
      </c>
      <c r="K26" s="21">
        <f>'Fin, Tax &amp; Equity'!K$14</f>
        <v>7.166666666666667</v>
      </c>
      <c r="L26" s="21">
        <f>'Fin, Tax &amp; Equity'!L$14</f>
        <v>6.833333333333333</v>
      </c>
      <c r="M26" s="21">
        <f>'Fin, Tax &amp; Equity'!M$14</f>
        <v>6.5</v>
      </c>
      <c r="N26" s="21">
        <f>'Fin, Tax &amp; Equity'!N$14</f>
        <v>6.166666666666667</v>
      </c>
    </row>
    <row r="27" spans="2:14" ht="13.5" customHeight="1" x14ac:dyDescent="0.2">
      <c r="B27" s="19" t="s">
        <v>316</v>
      </c>
      <c r="C27" s="31">
        <f t="shared" ref="C27:N27" si="8">C25-C26</f>
        <v>-672.62295315555559</v>
      </c>
      <c r="D27" s="31">
        <f t="shared" si="8"/>
        <v>-678.14864340093379</v>
      </c>
      <c r="E27" s="31">
        <f t="shared" si="8"/>
        <v>-681.31340776058914</v>
      </c>
      <c r="F27" s="31">
        <f t="shared" si="8"/>
        <v>-681.20507995066362</v>
      </c>
      <c r="G27" s="31">
        <f t="shared" si="8"/>
        <v>-677.36960425864686</v>
      </c>
      <c r="H27" s="31">
        <f t="shared" si="8"/>
        <v>-669.82794251937719</v>
      </c>
      <c r="I27" s="31">
        <f t="shared" si="8"/>
        <v>-658.60093027171092</v>
      </c>
      <c r="J27" s="31">
        <f t="shared" si="8"/>
        <v>-643.70927751609759</v>
      </c>
      <c r="K27" s="31">
        <f t="shared" si="8"/>
        <v>-625.17356946761834</v>
      </c>
      <c r="L27" s="31">
        <f t="shared" si="8"/>
        <v>-603.01426730449873</v>
      </c>
      <c r="M27" s="31">
        <f t="shared" si="8"/>
        <v>-577.25170891213281</v>
      </c>
      <c r="N27" s="31">
        <f t="shared" si="8"/>
        <v>-547.90610962264327</v>
      </c>
    </row>
    <row r="28" spans="2:14" ht="13.5" customHeight="1" x14ac:dyDescent="0.2">
      <c r="B28" s="19" t="s">
        <v>317</v>
      </c>
      <c r="C28" s="21">
        <f>'Fin, Tax &amp; Equity'!C$21</f>
        <v>0</v>
      </c>
      <c r="D28" s="21">
        <f>'Fin, Tax &amp; Equity'!D$21</f>
        <v>0</v>
      </c>
      <c r="E28" s="21">
        <f>'Fin, Tax &amp; Equity'!E$21</f>
        <v>0</v>
      </c>
      <c r="F28" s="21">
        <f>'Fin, Tax &amp; Equity'!F$21</f>
        <v>0</v>
      </c>
      <c r="G28" s="21">
        <f>'Fin, Tax &amp; Equity'!G$21</f>
        <v>0</v>
      </c>
      <c r="H28" s="21">
        <f>'Fin, Tax &amp; Equity'!H$21</f>
        <v>0</v>
      </c>
      <c r="I28" s="21">
        <f>'Fin, Tax &amp; Equity'!I$21</f>
        <v>0</v>
      </c>
      <c r="J28" s="21">
        <f>'Fin, Tax &amp; Equity'!J$21</f>
        <v>0</v>
      </c>
      <c r="K28" s="21">
        <f>'Fin, Tax &amp; Equity'!K$21</f>
        <v>0</v>
      </c>
      <c r="L28" s="21">
        <f>'Fin, Tax &amp; Equity'!L$21</f>
        <v>0</v>
      </c>
      <c r="M28" s="21">
        <f>'Fin, Tax &amp; Equity'!M$21</f>
        <v>0</v>
      </c>
      <c r="N28" s="21">
        <f>'Fin, Tax &amp; Equity'!N$21</f>
        <v>0</v>
      </c>
    </row>
    <row r="29" spans="2:14" ht="13.5" customHeight="1" x14ac:dyDescent="0.2">
      <c r="B29" s="22" t="s">
        <v>325</v>
      </c>
      <c r="C29" s="23">
        <f t="shared" ref="C29:N29" si="9">C27-C28</f>
        <v>-672.62295315555559</v>
      </c>
      <c r="D29" s="23">
        <f t="shared" si="9"/>
        <v>-678.14864340093379</v>
      </c>
      <c r="E29" s="23">
        <f t="shared" si="9"/>
        <v>-681.31340776058914</v>
      </c>
      <c r="F29" s="23">
        <f t="shared" si="9"/>
        <v>-681.20507995066362</v>
      </c>
      <c r="G29" s="23">
        <f t="shared" si="9"/>
        <v>-677.36960425864686</v>
      </c>
      <c r="H29" s="23">
        <f t="shared" si="9"/>
        <v>-669.82794251937719</v>
      </c>
      <c r="I29" s="23">
        <f t="shared" si="9"/>
        <v>-658.60093027171092</v>
      </c>
      <c r="J29" s="23">
        <f t="shared" si="9"/>
        <v>-643.70927751609759</v>
      </c>
      <c r="K29" s="23">
        <f t="shared" si="9"/>
        <v>-625.17356946761834</v>
      </c>
      <c r="L29" s="23">
        <f t="shared" si="9"/>
        <v>-603.01426730449873</v>
      </c>
      <c r="M29" s="23">
        <f t="shared" si="9"/>
        <v>-577.25170891213281</v>
      </c>
      <c r="N29" s="23">
        <f t="shared" si="9"/>
        <v>-547.90610962264327</v>
      </c>
    </row>
    <row r="30" spans="2:14" ht="13.5" customHeight="1" x14ac:dyDescent="0.2">
      <c r="B30" s="1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</row>
    <row r="31" spans="2:14" ht="13.5" customHeight="1" x14ac:dyDescent="0.2">
      <c r="B31" s="1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2:14" ht="13.5" customHeight="1" x14ac:dyDescent="0.2">
      <c r="B32" s="1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="51" customFormat="1" ht="13.5" customHeight="1" x14ac:dyDescent="0.2"/>
    <row r="34" s="51" customFormat="1" ht="13.5" customHeight="1" x14ac:dyDescent="0.2"/>
    <row r="35" s="51" customFormat="1" ht="13.5" customHeight="1" x14ac:dyDescent="0.2"/>
    <row r="36" s="51" customFormat="1" ht="13.5" customHeight="1" x14ac:dyDescent="0.2"/>
    <row r="37" s="51" customFormat="1" ht="13.5" customHeight="1" x14ac:dyDescent="0.2"/>
    <row r="38" s="51" customFormat="1" ht="13.5" customHeight="1" x14ac:dyDescent="0.2"/>
    <row r="39" s="51" customFormat="1" ht="13.5" customHeight="1" x14ac:dyDescent="0.2"/>
    <row r="40" s="51" customFormat="1" ht="13.5" customHeight="1" x14ac:dyDescent="0.2"/>
    <row r="41" s="51" customFormat="1" ht="13.5" customHeight="1" x14ac:dyDescent="0.2"/>
    <row r="42" s="51" customFormat="1" ht="13.5" customHeight="1" x14ac:dyDescent="0.2"/>
    <row r="43" s="51" customFormat="1" ht="13.5" customHeight="1" x14ac:dyDescent="0.2"/>
    <row r="44" s="51" customFormat="1" ht="13.5" customHeight="1" x14ac:dyDescent="0.2"/>
    <row r="45" s="51" customFormat="1" ht="13.5" customHeight="1" x14ac:dyDescent="0.2"/>
    <row r="46" s="51" customFormat="1" ht="13.5" customHeight="1" x14ac:dyDescent="0.2"/>
    <row r="47" s="51" customFormat="1" ht="13.5" customHeight="1" x14ac:dyDescent="0.2"/>
    <row r="48" s="51" customFormat="1" ht="13.5" customHeight="1" x14ac:dyDescent="0.2"/>
    <row r="49" s="51" customFormat="1" ht="13.5" customHeight="1" x14ac:dyDescent="0.2"/>
    <row r="50" s="51" customFormat="1" ht="13.5" customHeight="1" x14ac:dyDescent="0.2"/>
    <row r="51" s="51" customFormat="1" ht="13.5" customHeight="1" x14ac:dyDescent="0.2"/>
    <row r="52" s="51" customFormat="1" ht="13.5" customHeight="1" x14ac:dyDescent="0.2"/>
    <row r="53" s="51" customFormat="1" ht="13.5" customHeight="1" x14ac:dyDescent="0.2"/>
    <row r="54" s="51" customFormat="1" ht="13.5" customHeight="1" x14ac:dyDescent="0.2"/>
    <row r="55" s="51" customFormat="1" ht="13.5" customHeight="1" x14ac:dyDescent="0.2"/>
    <row r="56" s="51" customFormat="1" ht="13.5" customHeight="1" x14ac:dyDescent="0.2"/>
    <row r="57" s="51" customFormat="1" ht="13.5" customHeight="1" x14ac:dyDescent="0.2"/>
    <row r="58" s="51" customFormat="1" ht="13.5" customHeight="1" x14ac:dyDescent="0.2"/>
    <row r="59" s="51" customFormat="1" ht="13.5" customHeight="1" x14ac:dyDescent="0.2"/>
    <row r="60" s="51" customFormat="1" ht="13.5" customHeight="1" x14ac:dyDescent="0.2"/>
    <row r="61" s="51" customFormat="1" ht="13.5" customHeight="1" x14ac:dyDescent="0.2"/>
    <row r="62" s="51" customFormat="1" ht="13.5" customHeight="1" x14ac:dyDescent="0.2"/>
    <row r="63" s="51" customFormat="1" ht="13.5" customHeight="1" x14ac:dyDescent="0.2"/>
    <row r="64" s="51" customFormat="1" ht="13.5" customHeight="1" x14ac:dyDescent="0.2"/>
    <row r="65" s="51" customFormat="1" ht="13.5" customHeight="1" x14ac:dyDescent="0.2"/>
    <row r="66" s="51" customFormat="1" ht="13.5" customHeight="1" x14ac:dyDescent="0.2"/>
    <row r="67" s="51" customFormat="1" ht="13.5" customHeight="1" x14ac:dyDescent="0.2"/>
    <row r="68" s="51" customFormat="1" ht="13.5" customHeight="1" x14ac:dyDescent="0.2"/>
    <row r="69" s="51" customFormat="1" ht="13.5" customHeight="1" x14ac:dyDescent="0.2"/>
    <row r="70" s="51" customFormat="1" ht="13.5" customHeight="1" x14ac:dyDescent="0.2"/>
    <row r="71" s="51" customFormat="1" ht="13.5" customHeight="1" x14ac:dyDescent="0.2"/>
    <row r="72" s="51" customFormat="1" ht="13.5" customHeight="1" x14ac:dyDescent="0.2"/>
    <row r="73" s="51" customFormat="1" ht="13.5" customHeight="1" x14ac:dyDescent="0.2"/>
    <row r="74" s="51" customFormat="1" ht="13.5" customHeight="1" x14ac:dyDescent="0.2"/>
    <row r="75" s="51" customFormat="1" ht="13.5" customHeight="1" x14ac:dyDescent="0.2"/>
    <row r="76" s="51" customFormat="1" ht="13.5" customHeight="1" x14ac:dyDescent="0.2"/>
    <row r="77" s="51" customFormat="1" ht="13.5" customHeight="1" x14ac:dyDescent="0.2"/>
    <row r="78" s="51" customFormat="1" ht="13.5" customHeight="1" x14ac:dyDescent="0.2"/>
    <row r="79" s="51" customFormat="1" ht="13.5" customHeight="1" x14ac:dyDescent="0.2"/>
    <row r="80" s="51" customFormat="1" ht="13.5" customHeight="1" x14ac:dyDescent="0.2"/>
    <row r="81" s="51" customFormat="1" ht="13.5" customHeight="1" x14ac:dyDescent="0.2"/>
    <row r="82" s="51" customFormat="1" ht="13.5" customHeight="1" x14ac:dyDescent="0.2"/>
    <row r="83" s="51" customFormat="1" ht="13.5" customHeight="1" x14ac:dyDescent="0.2"/>
    <row r="84" s="51" customFormat="1" ht="13.5" customHeight="1" x14ac:dyDescent="0.2"/>
    <row r="85" s="51" customFormat="1" ht="13.5" customHeight="1" x14ac:dyDescent="0.2"/>
    <row r="86" s="51" customFormat="1" ht="13.5" customHeight="1" x14ac:dyDescent="0.2"/>
    <row r="87" s="51" customFormat="1" ht="13.5" customHeight="1" x14ac:dyDescent="0.2"/>
    <row r="88" s="51" customFormat="1" ht="13.5" customHeight="1" x14ac:dyDescent="0.2"/>
    <row r="89" s="51" customFormat="1" ht="13.5" customHeight="1" x14ac:dyDescent="0.2"/>
    <row r="90" s="51" customFormat="1" ht="13.5" customHeight="1" x14ac:dyDescent="0.2"/>
    <row r="91" s="51" customFormat="1" ht="13.5" customHeight="1" x14ac:dyDescent="0.2"/>
    <row r="92" s="51" customFormat="1" ht="13.5" customHeight="1" x14ac:dyDescent="0.2"/>
    <row r="93" s="51" customFormat="1" ht="13.5" customHeight="1" x14ac:dyDescent="0.2"/>
    <row r="94" s="51" customFormat="1" ht="13.5" customHeight="1" x14ac:dyDescent="0.2"/>
    <row r="95" s="51" customFormat="1" ht="13.5" customHeight="1" x14ac:dyDescent="0.2"/>
    <row r="96" s="51" customFormat="1" ht="13.5" customHeight="1" x14ac:dyDescent="0.2"/>
    <row r="97" s="51" customFormat="1" ht="13.5" customHeight="1" x14ac:dyDescent="0.2"/>
    <row r="98" s="51" customFormat="1" ht="13.5" customHeight="1" x14ac:dyDescent="0.2"/>
    <row r="99" s="51" customFormat="1" ht="13.5" customHeight="1" x14ac:dyDescent="0.2"/>
    <row r="100" s="51" customFormat="1" ht="13.5" customHeight="1" x14ac:dyDescent="0.2"/>
    <row r="101" s="51" customFormat="1" ht="13.5" customHeight="1" x14ac:dyDescent="0.2"/>
    <row r="102" s="51" customFormat="1" ht="13.5" customHeight="1" x14ac:dyDescent="0.2"/>
    <row r="103" s="51" customFormat="1" ht="13.5" customHeight="1" x14ac:dyDescent="0.2"/>
    <row r="104" s="51" customFormat="1" ht="13.5" customHeight="1" x14ac:dyDescent="0.2"/>
    <row r="105" s="51" customFormat="1" ht="13.5" customHeight="1" x14ac:dyDescent="0.2"/>
    <row r="106" s="51" customFormat="1" ht="13.5" customHeight="1" x14ac:dyDescent="0.2"/>
    <row r="107" s="51" customFormat="1" ht="13.5" customHeight="1" x14ac:dyDescent="0.2"/>
    <row r="108" s="51" customFormat="1" ht="13.5" customHeight="1" x14ac:dyDescent="0.2"/>
    <row r="109" s="51" customFormat="1" ht="13.5" customHeight="1" x14ac:dyDescent="0.2"/>
    <row r="110" s="51" customFormat="1" ht="13.5" customHeight="1" x14ac:dyDescent="0.2"/>
    <row r="111" s="51" customFormat="1" ht="13.5" customHeight="1" x14ac:dyDescent="0.2"/>
    <row r="112" s="51" customFormat="1" ht="13.5" customHeight="1" x14ac:dyDescent="0.2"/>
    <row r="113" s="51" customFormat="1" ht="13.5" customHeight="1" x14ac:dyDescent="0.2"/>
    <row r="114" s="51" customFormat="1" ht="13.5" customHeight="1" x14ac:dyDescent="0.2"/>
    <row r="115" s="51" customFormat="1" ht="13.5" customHeight="1" x14ac:dyDescent="0.2"/>
    <row r="116" s="51" customFormat="1" ht="13.5" customHeight="1" x14ac:dyDescent="0.2"/>
    <row r="117" s="51" customFormat="1" ht="13.5" customHeight="1" x14ac:dyDescent="0.2"/>
    <row r="118" s="51" customFormat="1" ht="13.5" customHeight="1" x14ac:dyDescent="0.2"/>
    <row r="119" s="51" customFormat="1" ht="13.5" customHeight="1" x14ac:dyDescent="0.2"/>
    <row r="120" s="51" customFormat="1" ht="13.5" customHeight="1" x14ac:dyDescent="0.2"/>
    <row r="121" s="51" customFormat="1" ht="13.5" customHeight="1" x14ac:dyDescent="0.2"/>
    <row r="122" s="51" customFormat="1" ht="13.5" customHeight="1" x14ac:dyDescent="0.2"/>
    <row r="123" s="51" customFormat="1" ht="13.5" customHeight="1" x14ac:dyDescent="0.2"/>
    <row r="124" s="51" customFormat="1" ht="13.5" customHeight="1" x14ac:dyDescent="0.2"/>
    <row r="125" s="51" customFormat="1" ht="13.5" customHeight="1" x14ac:dyDescent="0.2"/>
    <row r="126" s="51" customFormat="1" ht="13.5" customHeight="1" x14ac:dyDescent="0.2"/>
    <row r="127" s="51" customFormat="1" ht="13.5" customHeight="1" x14ac:dyDescent="0.2"/>
    <row r="128" s="51" customFormat="1" ht="13.5" customHeight="1" x14ac:dyDescent="0.2"/>
    <row r="129" s="51" customFormat="1" ht="13.5" customHeight="1" x14ac:dyDescent="0.2"/>
    <row r="130" s="51" customFormat="1" ht="13.5" customHeight="1" x14ac:dyDescent="0.2"/>
    <row r="131" s="51" customFormat="1" ht="13.5" customHeight="1" x14ac:dyDescent="0.2"/>
    <row r="132" s="51" customFormat="1" ht="13.5" customHeight="1" x14ac:dyDescent="0.2"/>
    <row r="133" s="51" customFormat="1" ht="13.5" customHeight="1" x14ac:dyDescent="0.2"/>
    <row r="134" s="51" customFormat="1" ht="13.5" customHeight="1" x14ac:dyDescent="0.2"/>
    <row r="135" s="51" customFormat="1" ht="13.5" customHeight="1" x14ac:dyDescent="0.2"/>
    <row r="136" s="51" customFormat="1" ht="13.5" customHeight="1" x14ac:dyDescent="0.2"/>
    <row r="137" s="51" customFormat="1" ht="13.5" customHeight="1" x14ac:dyDescent="0.2"/>
    <row r="138" s="51" customFormat="1" ht="13.5" customHeight="1" x14ac:dyDescent="0.2"/>
    <row r="139" s="51" customFormat="1" ht="13.5" customHeight="1" x14ac:dyDescent="0.2"/>
    <row r="140" s="51" customFormat="1" ht="13.5" customHeight="1" x14ac:dyDescent="0.2"/>
    <row r="141" s="51" customFormat="1" ht="13.5" customHeight="1" x14ac:dyDescent="0.2"/>
    <row r="142" s="51" customFormat="1" ht="13.5" customHeight="1" x14ac:dyDescent="0.2"/>
    <row r="143" s="51" customFormat="1" ht="13.5" customHeight="1" x14ac:dyDescent="0.2"/>
    <row r="144" s="51" customFormat="1" ht="13.5" customHeight="1" x14ac:dyDescent="0.2"/>
    <row r="145" s="51" customFormat="1" ht="13.5" customHeight="1" x14ac:dyDescent="0.2"/>
    <row r="146" s="51" customFormat="1" ht="13.5" customHeight="1" x14ac:dyDescent="0.2"/>
    <row r="147" s="51" customFormat="1" ht="13.5" customHeight="1" x14ac:dyDescent="0.2"/>
    <row r="148" s="51" customFormat="1" ht="13.5" customHeight="1" x14ac:dyDescent="0.2"/>
    <row r="149" s="51" customFormat="1" ht="13.5" customHeight="1" x14ac:dyDescent="0.2"/>
    <row r="150" s="51" customFormat="1" ht="13.5" customHeight="1" x14ac:dyDescent="0.2"/>
    <row r="151" s="51" customFormat="1" ht="13.5" customHeight="1" x14ac:dyDescent="0.2"/>
    <row r="152" s="51" customFormat="1" ht="13.5" customHeight="1" x14ac:dyDescent="0.2"/>
    <row r="153" s="51" customFormat="1" ht="13.5" customHeight="1" x14ac:dyDescent="0.2"/>
    <row r="154" s="51" customFormat="1" ht="13.5" customHeight="1" x14ac:dyDescent="0.2"/>
    <row r="155" s="51" customFormat="1" ht="13.5" customHeight="1" x14ac:dyDescent="0.2"/>
    <row r="156" s="51" customFormat="1" ht="13.5" customHeight="1" x14ac:dyDescent="0.2"/>
    <row r="157" s="51" customFormat="1" ht="13.5" customHeight="1" x14ac:dyDescent="0.2"/>
    <row r="158" s="51" customFormat="1" ht="13.5" customHeight="1" x14ac:dyDescent="0.2"/>
    <row r="159" s="51" customFormat="1" ht="13.5" customHeight="1" x14ac:dyDescent="0.2"/>
    <row r="160" s="51" customFormat="1" ht="13.5" customHeight="1" x14ac:dyDescent="0.2"/>
    <row r="161" s="51" customFormat="1" ht="13.5" customHeight="1" x14ac:dyDescent="0.2"/>
    <row r="162" s="51" customFormat="1" ht="13.5" customHeight="1" x14ac:dyDescent="0.2"/>
    <row r="163" s="51" customFormat="1" ht="13.5" customHeight="1" x14ac:dyDescent="0.2"/>
    <row r="164" s="51" customFormat="1" ht="13.5" customHeight="1" x14ac:dyDescent="0.2"/>
    <row r="165" s="51" customFormat="1" ht="13.5" customHeight="1" x14ac:dyDescent="0.2"/>
    <row r="166" s="51" customFormat="1" ht="13.5" customHeight="1" x14ac:dyDescent="0.2"/>
    <row r="167" s="51" customFormat="1" ht="13.5" customHeight="1" x14ac:dyDescent="0.2"/>
    <row r="168" s="51" customFormat="1" ht="13.5" customHeight="1" x14ac:dyDescent="0.2"/>
    <row r="169" s="51" customFormat="1" ht="13.5" customHeight="1" x14ac:dyDescent="0.2"/>
    <row r="170" s="51" customFormat="1" ht="13.5" customHeight="1" x14ac:dyDescent="0.2"/>
    <row r="171" s="51" customFormat="1" ht="13.5" customHeight="1" x14ac:dyDescent="0.2"/>
    <row r="172" s="51" customFormat="1" ht="13.5" customHeight="1" x14ac:dyDescent="0.2"/>
    <row r="173" s="51" customFormat="1" ht="13.5" customHeight="1" x14ac:dyDescent="0.2"/>
    <row r="174" s="51" customFormat="1" ht="13.5" customHeight="1" x14ac:dyDescent="0.2"/>
    <row r="175" s="51" customFormat="1" ht="13.5" customHeight="1" x14ac:dyDescent="0.2"/>
    <row r="176" s="51" customFormat="1" ht="13.5" customHeight="1" x14ac:dyDescent="0.2"/>
    <row r="177" s="51" customFormat="1" ht="13.5" customHeight="1" x14ac:dyDescent="0.2"/>
    <row r="178" s="51" customFormat="1" ht="13.5" customHeight="1" x14ac:dyDescent="0.2"/>
    <row r="179" s="51" customFormat="1" ht="13.5" customHeight="1" x14ac:dyDescent="0.2"/>
    <row r="180" s="51" customFormat="1" ht="13.5" customHeight="1" x14ac:dyDescent="0.2"/>
    <row r="181" s="51" customFormat="1" ht="13.5" customHeight="1" x14ac:dyDescent="0.2"/>
    <row r="182" s="51" customFormat="1" ht="13.5" customHeight="1" x14ac:dyDescent="0.2"/>
    <row r="183" s="51" customFormat="1" ht="13.5" customHeight="1" x14ac:dyDescent="0.2"/>
    <row r="184" s="51" customFormat="1" ht="13.5" customHeight="1" x14ac:dyDescent="0.2"/>
    <row r="185" s="51" customFormat="1" ht="13.5" customHeight="1" x14ac:dyDescent="0.2"/>
    <row r="186" s="51" customFormat="1" ht="13.5" customHeight="1" x14ac:dyDescent="0.2"/>
    <row r="187" s="51" customFormat="1" ht="13.5" customHeight="1" x14ac:dyDescent="0.2"/>
    <row r="188" s="51" customFormat="1" ht="13.5" customHeight="1" x14ac:dyDescent="0.2"/>
    <row r="189" s="51" customFormat="1" ht="13.5" customHeight="1" x14ac:dyDescent="0.2"/>
    <row r="190" s="51" customFormat="1" ht="13.5" customHeight="1" x14ac:dyDescent="0.2"/>
    <row r="191" s="51" customFormat="1" ht="13.5" customHeight="1" x14ac:dyDescent="0.2"/>
    <row r="192" s="51" customFormat="1" ht="13.5" customHeight="1" x14ac:dyDescent="0.2"/>
    <row r="193" s="51" customFormat="1" ht="13.5" customHeight="1" x14ac:dyDescent="0.2"/>
    <row r="194" s="51" customFormat="1" ht="13.5" customHeight="1" x14ac:dyDescent="0.2"/>
    <row r="195" s="51" customFormat="1" ht="13.5" customHeight="1" x14ac:dyDescent="0.2"/>
    <row r="196" s="51" customFormat="1" ht="13.5" customHeight="1" x14ac:dyDescent="0.2"/>
    <row r="197" s="51" customFormat="1" ht="13.5" customHeight="1" x14ac:dyDescent="0.2"/>
    <row r="198" s="51" customFormat="1" ht="13.5" customHeight="1" x14ac:dyDescent="0.2"/>
    <row r="199" s="51" customFormat="1" ht="13.5" customHeight="1" x14ac:dyDescent="0.2"/>
    <row r="200" s="51" customFormat="1" ht="13.5" customHeight="1" x14ac:dyDescent="0.2"/>
    <row r="201" s="51" customFormat="1" ht="13.5" customHeight="1" x14ac:dyDescent="0.2"/>
    <row r="202" s="51" customFormat="1" ht="13.5" customHeight="1" x14ac:dyDescent="0.2"/>
    <row r="203" s="51" customFormat="1" ht="13.5" customHeight="1" x14ac:dyDescent="0.2"/>
    <row r="204" s="51" customFormat="1" ht="13.5" customHeight="1" x14ac:dyDescent="0.2"/>
    <row r="205" s="51" customFormat="1" ht="13.5" customHeight="1" x14ac:dyDescent="0.2"/>
    <row r="206" s="51" customFormat="1" ht="13.5" customHeight="1" x14ac:dyDescent="0.2"/>
    <row r="207" s="51" customFormat="1" ht="13.5" customHeight="1" x14ac:dyDescent="0.2"/>
    <row r="208" s="51" customFormat="1" ht="13.5" customHeight="1" x14ac:dyDescent="0.2"/>
    <row r="209" s="51" customFormat="1" ht="13.5" customHeight="1" x14ac:dyDescent="0.2"/>
    <row r="210" s="51" customFormat="1" ht="13.5" customHeight="1" x14ac:dyDescent="0.2"/>
    <row r="211" s="51" customFormat="1" ht="13.5" customHeight="1" x14ac:dyDescent="0.2"/>
    <row r="212" s="51" customFormat="1" ht="13.5" customHeight="1" x14ac:dyDescent="0.2"/>
    <row r="213" s="51" customFormat="1" ht="13.5" customHeight="1" x14ac:dyDescent="0.2"/>
    <row r="214" s="51" customFormat="1" ht="13.5" customHeight="1" x14ac:dyDescent="0.2"/>
    <row r="215" s="51" customFormat="1" ht="13.5" customHeight="1" x14ac:dyDescent="0.2"/>
    <row r="216" s="51" customFormat="1" ht="13.5" customHeight="1" x14ac:dyDescent="0.2"/>
    <row r="217" s="51" customFormat="1" ht="13.5" customHeight="1" x14ac:dyDescent="0.2"/>
    <row r="218" s="51" customFormat="1" ht="13.5" customHeight="1" x14ac:dyDescent="0.2"/>
    <row r="219" s="51" customFormat="1" ht="13.5" customHeight="1" x14ac:dyDescent="0.2"/>
    <row r="220" s="51" customFormat="1" ht="13.5" customHeight="1" x14ac:dyDescent="0.2"/>
    <row r="221" s="51" customFormat="1" ht="13.5" customHeight="1" x14ac:dyDescent="0.2"/>
    <row r="222" s="51" customFormat="1" ht="13.5" customHeight="1" x14ac:dyDescent="0.2"/>
    <row r="223" s="51" customFormat="1" ht="13.5" customHeight="1" x14ac:dyDescent="0.2"/>
    <row r="224" s="51" customFormat="1" ht="13.5" customHeight="1" x14ac:dyDescent="0.2"/>
    <row r="225" s="51" customFormat="1" ht="13.5" customHeight="1" x14ac:dyDescent="0.2"/>
    <row r="226" s="51" customFormat="1" ht="13.5" customHeight="1" x14ac:dyDescent="0.2"/>
    <row r="227" s="51" customFormat="1" ht="13.5" customHeight="1" x14ac:dyDescent="0.2"/>
    <row r="228" s="51" customFormat="1" ht="13.5" customHeight="1" x14ac:dyDescent="0.2"/>
    <row r="229" s="51" customFormat="1" ht="13.5" customHeight="1" x14ac:dyDescent="0.2"/>
    <row r="230" s="51" customFormat="1" ht="13.5" customHeight="1" x14ac:dyDescent="0.2"/>
    <row r="231" s="51" customFormat="1" ht="13.5" customHeight="1" x14ac:dyDescent="0.2"/>
    <row r="232" s="51" customFormat="1" ht="13.5" customHeight="1" x14ac:dyDescent="0.2"/>
    <row r="233" s="51" customFormat="1" ht="13.5" customHeight="1" x14ac:dyDescent="0.2"/>
    <row r="234" s="51" customFormat="1" ht="13.5" customHeight="1" x14ac:dyDescent="0.2"/>
    <row r="235" s="51" customFormat="1" ht="13.5" customHeight="1" x14ac:dyDescent="0.2"/>
    <row r="236" s="51" customFormat="1" ht="13.5" customHeight="1" x14ac:dyDescent="0.2"/>
    <row r="237" s="51" customFormat="1" ht="13.5" customHeight="1" x14ac:dyDescent="0.2"/>
    <row r="238" s="51" customFormat="1" ht="13.5" customHeight="1" x14ac:dyDescent="0.2"/>
    <row r="239" s="51" customFormat="1" ht="13.5" customHeight="1" x14ac:dyDescent="0.2"/>
    <row r="240" s="51" customFormat="1" ht="13.5" customHeight="1" x14ac:dyDescent="0.2"/>
    <row r="241" s="51" customFormat="1" ht="13.5" customHeight="1" x14ac:dyDescent="0.2"/>
    <row r="242" s="51" customFormat="1" ht="13.5" customHeight="1" x14ac:dyDescent="0.2"/>
    <row r="243" s="51" customFormat="1" ht="13.5" customHeight="1" x14ac:dyDescent="0.2"/>
    <row r="244" s="51" customFormat="1" ht="13.5" customHeight="1" x14ac:dyDescent="0.2"/>
    <row r="245" s="51" customFormat="1" ht="13.5" customHeight="1" x14ac:dyDescent="0.2"/>
    <row r="246" s="51" customFormat="1" ht="13.5" customHeight="1" x14ac:dyDescent="0.2"/>
    <row r="247" s="51" customFormat="1" ht="13.5" customHeight="1" x14ac:dyDescent="0.2"/>
    <row r="248" s="51" customFormat="1" ht="13.5" customHeight="1" x14ac:dyDescent="0.2"/>
    <row r="249" s="51" customFormat="1" ht="13.5" customHeight="1" x14ac:dyDescent="0.2"/>
    <row r="250" s="51" customFormat="1" ht="13.5" customHeight="1" x14ac:dyDescent="0.2"/>
    <row r="251" s="51" customFormat="1" ht="13.5" customHeight="1" x14ac:dyDescent="0.2"/>
    <row r="252" s="51" customFormat="1" ht="13.5" customHeight="1" x14ac:dyDescent="0.2"/>
    <row r="253" s="51" customFormat="1" ht="13.5" customHeight="1" x14ac:dyDescent="0.2"/>
    <row r="254" s="51" customFormat="1" ht="13.5" customHeight="1" x14ac:dyDescent="0.2"/>
    <row r="255" s="51" customFormat="1" ht="13.5" customHeight="1" x14ac:dyDescent="0.2"/>
    <row r="256" s="51" customFormat="1" ht="13.5" customHeight="1" x14ac:dyDescent="0.2"/>
    <row r="257" s="51" customFormat="1" ht="13.5" customHeight="1" x14ac:dyDescent="0.2"/>
    <row r="258" s="51" customFormat="1" ht="13.5" customHeight="1" x14ac:dyDescent="0.2"/>
    <row r="259" s="51" customFormat="1" ht="13.5" customHeight="1" x14ac:dyDescent="0.2"/>
    <row r="260" s="51" customFormat="1" ht="13.5" customHeight="1" x14ac:dyDescent="0.2"/>
    <row r="261" s="51" customFormat="1" ht="13.5" customHeight="1" x14ac:dyDescent="0.2"/>
    <row r="262" s="51" customFormat="1" ht="13.5" customHeight="1" x14ac:dyDescent="0.2"/>
    <row r="263" s="51" customFormat="1" ht="13.5" customHeight="1" x14ac:dyDescent="0.2"/>
    <row r="264" s="51" customFormat="1" ht="13.5" customHeight="1" x14ac:dyDescent="0.2"/>
    <row r="265" s="51" customFormat="1" ht="13.5" customHeight="1" x14ac:dyDescent="0.2"/>
    <row r="266" s="51" customFormat="1" ht="13.5" customHeight="1" x14ac:dyDescent="0.2"/>
    <row r="267" s="51" customFormat="1" ht="13.5" customHeight="1" x14ac:dyDescent="0.2"/>
    <row r="268" s="51" customFormat="1" ht="13.5" customHeight="1" x14ac:dyDescent="0.2"/>
    <row r="269" s="51" customFormat="1" ht="13.5" customHeight="1" x14ac:dyDescent="0.2"/>
    <row r="270" s="51" customFormat="1" ht="13.5" customHeight="1" x14ac:dyDescent="0.2"/>
    <row r="271" s="51" customFormat="1" ht="13.5" customHeight="1" x14ac:dyDescent="0.2"/>
    <row r="272" s="51" customFormat="1" ht="13.5" customHeight="1" x14ac:dyDescent="0.2"/>
    <row r="273" s="51" customFormat="1" ht="13.5" customHeight="1" x14ac:dyDescent="0.2"/>
    <row r="274" s="51" customFormat="1" ht="13.5" customHeight="1" x14ac:dyDescent="0.2"/>
    <row r="275" s="51" customFormat="1" ht="13.5" customHeight="1" x14ac:dyDescent="0.2"/>
    <row r="276" s="51" customFormat="1" ht="13.5" customHeight="1" x14ac:dyDescent="0.2"/>
    <row r="277" s="51" customFormat="1" ht="13.5" customHeight="1" x14ac:dyDescent="0.2"/>
    <row r="278" s="51" customFormat="1" ht="13.5" customHeight="1" x14ac:dyDescent="0.2"/>
    <row r="279" s="51" customFormat="1" ht="13.5" customHeight="1" x14ac:dyDescent="0.2"/>
    <row r="280" s="51" customFormat="1" ht="13.5" customHeight="1" x14ac:dyDescent="0.2"/>
    <row r="281" s="51" customFormat="1" ht="13.5" customHeight="1" x14ac:dyDescent="0.2"/>
    <row r="282" s="51" customFormat="1" ht="13.5" customHeight="1" x14ac:dyDescent="0.2"/>
    <row r="283" s="51" customFormat="1" ht="13.5" customHeight="1" x14ac:dyDescent="0.2"/>
    <row r="284" s="51" customFormat="1" ht="13.5" customHeight="1" x14ac:dyDescent="0.2"/>
    <row r="285" s="51" customFormat="1" ht="13.5" customHeight="1" x14ac:dyDescent="0.2"/>
    <row r="286" s="51" customFormat="1" ht="13.5" customHeight="1" x14ac:dyDescent="0.2"/>
    <row r="287" s="51" customFormat="1" ht="13.5" customHeight="1" x14ac:dyDescent="0.2"/>
    <row r="288" s="51" customFormat="1" ht="13.5" customHeight="1" x14ac:dyDescent="0.2"/>
    <row r="289" s="51" customFormat="1" ht="13.5" customHeight="1" x14ac:dyDescent="0.2"/>
    <row r="290" s="51" customFormat="1" ht="13.5" customHeight="1" x14ac:dyDescent="0.2"/>
    <row r="291" s="51" customFormat="1" ht="13.5" customHeight="1" x14ac:dyDescent="0.2"/>
    <row r="292" s="51" customFormat="1" ht="13.5" customHeight="1" x14ac:dyDescent="0.2"/>
    <row r="293" s="51" customFormat="1" ht="13.5" customHeight="1" x14ac:dyDescent="0.2"/>
    <row r="294" s="51" customFormat="1" ht="13.5" customHeight="1" x14ac:dyDescent="0.2"/>
    <row r="295" s="51" customFormat="1" ht="13.5" customHeight="1" x14ac:dyDescent="0.2"/>
    <row r="296" s="51" customFormat="1" ht="13.5" customHeight="1" x14ac:dyDescent="0.2"/>
    <row r="297" s="51" customFormat="1" ht="13.5" customHeight="1" x14ac:dyDescent="0.2"/>
    <row r="298" s="51" customFormat="1" ht="13.5" customHeight="1" x14ac:dyDescent="0.2"/>
    <row r="299" s="51" customFormat="1" ht="13.5" customHeight="1" x14ac:dyDescent="0.2"/>
    <row r="300" s="51" customFormat="1" ht="13.5" customHeight="1" x14ac:dyDescent="0.2"/>
    <row r="301" s="51" customFormat="1" ht="13.5" customHeight="1" x14ac:dyDescent="0.2"/>
    <row r="302" s="51" customFormat="1" ht="13.5" customHeight="1" x14ac:dyDescent="0.2"/>
    <row r="303" s="51" customFormat="1" ht="13.5" customHeight="1" x14ac:dyDescent="0.2"/>
    <row r="304" s="51" customFormat="1" ht="13.5" customHeight="1" x14ac:dyDescent="0.2"/>
    <row r="305" s="51" customFormat="1" ht="13.5" customHeight="1" x14ac:dyDescent="0.2"/>
    <row r="306" s="51" customFormat="1" ht="13.5" customHeight="1" x14ac:dyDescent="0.2"/>
    <row r="307" s="51" customFormat="1" ht="13.5" customHeight="1" x14ac:dyDescent="0.2"/>
    <row r="308" s="51" customFormat="1" ht="13.5" customHeight="1" x14ac:dyDescent="0.2"/>
    <row r="309" s="51" customFormat="1" ht="13.5" customHeight="1" x14ac:dyDescent="0.2"/>
    <row r="310" s="51" customFormat="1" ht="13.5" customHeight="1" x14ac:dyDescent="0.2"/>
    <row r="311" s="51" customFormat="1" ht="13.5" customHeight="1" x14ac:dyDescent="0.2"/>
    <row r="312" s="51" customFormat="1" ht="13.5" customHeight="1" x14ac:dyDescent="0.2"/>
    <row r="313" s="51" customFormat="1" ht="13.5" customHeight="1" x14ac:dyDescent="0.2"/>
    <row r="314" s="51" customFormat="1" ht="13.5" customHeight="1" x14ac:dyDescent="0.2"/>
    <row r="315" s="51" customFormat="1" ht="13.5" customHeight="1" x14ac:dyDescent="0.2"/>
    <row r="316" s="51" customFormat="1" ht="13.5" customHeight="1" x14ac:dyDescent="0.2"/>
    <row r="317" s="51" customFormat="1" ht="13.5" customHeight="1" x14ac:dyDescent="0.2"/>
    <row r="318" s="51" customFormat="1" ht="13.5" customHeight="1" x14ac:dyDescent="0.2"/>
    <row r="319" s="51" customFormat="1" ht="13.5" customHeight="1" x14ac:dyDescent="0.2"/>
    <row r="320" s="51" customFormat="1" ht="13.5" customHeight="1" x14ac:dyDescent="0.2"/>
    <row r="321" s="51" customFormat="1" ht="13.5" customHeight="1" x14ac:dyDescent="0.2"/>
    <row r="322" s="51" customFormat="1" ht="13.5" customHeight="1" x14ac:dyDescent="0.2"/>
    <row r="323" s="51" customFormat="1" ht="13.5" customHeight="1" x14ac:dyDescent="0.2"/>
    <row r="324" s="51" customFormat="1" ht="13.5" customHeight="1" x14ac:dyDescent="0.2"/>
    <row r="325" s="51" customFormat="1" ht="13.5" customHeight="1" x14ac:dyDescent="0.2"/>
    <row r="326" s="51" customFormat="1" ht="13.5" customHeight="1" x14ac:dyDescent="0.2"/>
    <row r="327" s="51" customFormat="1" ht="13.5" customHeight="1" x14ac:dyDescent="0.2"/>
    <row r="328" s="51" customFormat="1" ht="13.5" customHeight="1" x14ac:dyDescent="0.2"/>
    <row r="329" s="51" customFormat="1" ht="13.5" customHeight="1" x14ac:dyDescent="0.2"/>
    <row r="330" s="51" customFormat="1" ht="13.5" customHeight="1" x14ac:dyDescent="0.2"/>
    <row r="331" s="51" customFormat="1" ht="13.5" customHeight="1" x14ac:dyDescent="0.2"/>
    <row r="332" s="51" customFormat="1" ht="13.5" customHeight="1" x14ac:dyDescent="0.2"/>
    <row r="333" s="51" customFormat="1" ht="13.5" customHeight="1" x14ac:dyDescent="0.2"/>
    <row r="334" s="51" customFormat="1" ht="13.5" customHeight="1" x14ac:dyDescent="0.2"/>
    <row r="335" s="51" customFormat="1" ht="13.5" customHeight="1" x14ac:dyDescent="0.2"/>
    <row r="336" s="51" customFormat="1" ht="13.5" customHeight="1" x14ac:dyDescent="0.2"/>
    <row r="337" s="51" customFormat="1" ht="13.5" customHeight="1" x14ac:dyDescent="0.2"/>
    <row r="338" s="51" customFormat="1" ht="13.5" customHeight="1" x14ac:dyDescent="0.2"/>
    <row r="339" s="51" customFormat="1" ht="13.5" customHeight="1" x14ac:dyDescent="0.2"/>
    <row r="340" s="51" customFormat="1" ht="13.5" customHeight="1" x14ac:dyDescent="0.2"/>
    <row r="341" s="51" customFormat="1" ht="13.5" customHeight="1" x14ac:dyDescent="0.2"/>
    <row r="342" s="51" customFormat="1" ht="13.5" customHeight="1" x14ac:dyDescent="0.2"/>
    <row r="343" s="51" customFormat="1" ht="13.5" customHeight="1" x14ac:dyDescent="0.2"/>
    <row r="344" s="51" customFormat="1" ht="13.5" customHeight="1" x14ac:dyDescent="0.2"/>
    <row r="345" s="51" customFormat="1" ht="13.5" customHeight="1" x14ac:dyDescent="0.2"/>
    <row r="346" s="51" customFormat="1" ht="13.5" customHeight="1" x14ac:dyDescent="0.2"/>
    <row r="347" s="51" customFormat="1" ht="13.5" customHeight="1" x14ac:dyDescent="0.2"/>
    <row r="348" s="51" customFormat="1" ht="13.5" customHeight="1" x14ac:dyDescent="0.2"/>
    <row r="349" s="51" customFormat="1" ht="13.5" customHeight="1" x14ac:dyDescent="0.2"/>
    <row r="350" s="51" customFormat="1" ht="13.5" customHeight="1" x14ac:dyDescent="0.2"/>
    <row r="351" s="51" customFormat="1" ht="13.5" customHeight="1" x14ac:dyDescent="0.2"/>
    <row r="352" s="51" customFormat="1" ht="13.5" customHeight="1" x14ac:dyDescent="0.2"/>
    <row r="353" s="51" customFormat="1" ht="13.5" customHeight="1" x14ac:dyDescent="0.2"/>
    <row r="354" s="51" customFormat="1" ht="13.5" customHeight="1" x14ac:dyDescent="0.2"/>
    <row r="355" s="51" customFormat="1" ht="13.5" customHeight="1" x14ac:dyDescent="0.2"/>
    <row r="356" s="51" customFormat="1" ht="13.5" customHeight="1" x14ac:dyDescent="0.2"/>
    <row r="357" s="51" customFormat="1" ht="13.5" customHeight="1" x14ac:dyDescent="0.2"/>
    <row r="358" s="51" customFormat="1" ht="13.5" customHeight="1" x14ac:dyDescent="0.2"/>
    <row r="359" s="51" customFormat="1" ht="13.5" customHeight="1" x14ac:dyDescent="0.2"/>
    <row r="360" s="51" customFormat="1" ht="13.5" customHeight="1" x14ac:dyDescent="0.2"/>
    <row r="361" s="51" customFormat="1" ht="13.5" customHeight="1" x14ac:dyDescent="0.2"/>
    <row r="362" s="51" customFormat="1" ht="13.5" customHeight="1" x14ac:dyDescent="0.2"/>
    <row r="363" s="51" customFormat="1" ht="13.5" customHeight="1" x14ac:dyDescent="0.2"/>
    <row r="364" s="51" customFormat="1" ht="13.5" customHeight="1" x14ac:dyDescent="0.2"/>
    <row r="365" s="51" customFormat="1" ht="13.5" customHeight="1" x14ac:dyDescent="0.2"/>
    <row r="366" s="51" customFormat="1" ht="13.5" customHeight="1" x14ac:dyDescent="0.2"/>
    <row r="367" s="51" customFormat="1" ht="13.5" customHeight="1" x14ac:dyDescent="0.2"/>
    <row r="368" s="51" customFormat="1" ht="13.5" customHeight="1" x14ac:dyDescent="0.2"/>
    <row r="369" s="51" customFormat="1" ht="13.5" customHeight="1" x14ac:dyDescent="0.2"/>
    <row r="370" s="51" customFormat="1" ht="13.5" customHeight="1" x14ac:dyDescent="0.2"/>
    <row r="371" s="51" customFormat="1" ht="13.5" customHeight="1" x14ac:dyDescent="0.2"/>
    <row r="372" s="51" customFormat="1" ht="13.5" customHeight="1" x14ac:dyDescent="0.2"/>
    <row r="373" s="51" customFormat="1" ht="13.5" customHeight="1" x14ac:dyDescent="0.2"/>
    <row r="374" s="51" customFormat="1" ht="13.5" customHeight="1" x14ac:dyDescent="0.2"/>
    <row r="375" s="51" customFormat="1" ht="13.5" customHeight="1" x14ac:dyDescent="0.2"/>
    <row r="376" s="51" customFormat="1" ht="13.5" customHeight="1" x14ac:dyDescent="0.2"/>
    <row r="377" s="51" customFormat="1" ht="13.5" customHeight="1" x14ac:dyDescent="0.2"/>
    <row r="378" s="51" customFormat="1" ht="13.5" customHeight="1" x14ac:dyDescent="0.2"/>
    <row r="379" s="51" customFormat="1" ht="13.5" customHeight="1" x14ac:dyDescent="0.2"/>
    <row r="380" s="51" customFormat="1" ht="13.5" customHeight="1" x14ac:dyDescent="0.2"/>
    <row r="381" s="51" customFormat="1" ht="13.5" customHeight="1" x14ac:dyDescent="0.2"/>
    <row r="382" s="51" customFormat="1" ht="13.5" customHeight="1" x14ac:dyDescent="0.2"/>
    <row r="383" s="51" customFormat="1" ht="13.5" customHeight="1" x14ac:dyDescent="0.2"/>
    <row r="384" s="51" customFormat="1" ht="13.5" customHeight="1" x14ac:dyDescent="0.2"/>
    <row r="385" s="51" customFormat="1" ht="13.5" customHeight="1" x14ac:dyDescent="0.2"/>
    <row r="386" s="51" customFormat="1" ht="13.5" customHeight="1" x14ac:dyDescent="0.2"/>
    <row r="387" s="51" customFormat="1" ht="13.5" customHeight="1" x14ac:dyDescent="0.2"/>
    <row r="388" s="51" customFormat="1" ht="13.5" customHeight="1" x14ac:dyDescent="0.2"/>
    <row r="389" s="51" customFormat="1" ht="13.5" customHeight="1" x14ac:dyDescent="0.2"/>
    <row r="390" s="51" customFormat="1" ht="13.5" customHeight="1" x14ac:dyDescent="0.2"/>
    <row r="391" s="51" customFormat="1" ht="13.5" customHeight="1" x14ac:dyDescent="0.2"/>
    <row r="392" s="51" customFormat="1" ht="13.5" customHeight="1" x14ac:dyDescent="0.2"/>
    <row r="393" s="51" customFormat="1" ht="13.5" customHeight="1" x14ac:dyDescent="0.2"/>
    <row r="394" s="51" customFormat="1" ht="13.5" customHeight="1" x14ac:dyDescent="0.2"/>
    <row r="395" s="51" customFormat="1" ht="13.5" customHeight="1" x14ac:dyDescent="0.2"/>
    <row r="396" s="51" customFormat="1" ht="13.5" customHeight="1" x14ac:dyDescent="0.2"/>
    <row r="397" s="51" customFormat="1" ht="13.5" customHeight="1" x14ac:dyDescent="0.2"/>
    <row r="398" s="51" customFormat="1" ht="13.5" customHeight="1" x14ac:dyDescent="0.2"/>
    <row r="399" s="51" customFormat="1" ht="13.5" customHeight="1" x14ac:dyDescent="0.2"/>
    <row r="400" s="51" customFormat="1" ht="13.5" customHeight="1" x14ac:dyDescent="0.2"/>
    <row r="401" s="51" customFormat="1" ht="13.5" customHeight="1" x14ac:dyDescent="0.2"/>
    <row r="402" s="51" customFormat="1" ht="13.5" customHeight="1" x14ac:dyDescent="0.2"/>
    <row r="403" s="51" customFormat="1" ht="13.5" customHeight="1" x14ac:dyDescent="0.2"/>
    <row r="404" s="51" customFormat="1" ht="13.5" customHeight="1" x14ac:dyDescent="0.2"/>
    <row r="405" s="51" customFormat="1" ht="13.5" customHeight="1" x14ac:dyDescent="0.2"/>
    <row r="406" s="51" customFormat="1" ht="13.5" customHeight="1" x14ac:dyDescent="0.2"/>
    <row r="407" s="51" customFormat="1" ht="13.5" customHeight="1" x14ac:dyDescent="0.2"/>
    <row r="408" s="51" customFormat="1" ht="13.5" customHeight="1" x14ac:dyDescent="0.2"/>
    <row r="409" s="51" customFormat="1" ht="13.5" customHeight="1" x14ac:dyDescent="0.2"/>
    <row r="410" s="51" customFormat="1" ht="13.5" customHeight="1" x14ac:dyDescent="0.2"/>
    <row r="411" s="51" customFormat="1" ht="13.5" customHeight="1" x14ac:dyDescent="0.2"/>
    <row r="412" s="51" customFormat="1" ht="13.5" customHeight="1" x14ac:dyDescent="0.2"/>
    <row r="413" s="51" customFormat="1" ht="13.5" customHeight="1" x14ac:dyDescent="0.2"/>
    <row r="414" s="51" customFormat="1" ht="13.5" customHeight="1" x14ac:dyDescent="0.2"/>
    <row r="415" s="51" customFormat="1" ht="13.5" customHeight="1" x14ac:dyDescent="0.2"/>
    <row r="416" s="51" customFormat="1" ht="13.5" customHeight="1" x14ac:dyDescent="0.2"/>
    <row r="417" s="51" customFormat="1" ht="13.5" customHeight="1" x14ac:dyDescent="0.2"/>
    <row r="418" s="51" customFormat="1" ht="13.5" customHeight="1" x14ac:dyDescent="0.2"/>
    <row r="419" s="51" customFormat="1" ht="13.5" customHeight="1" x14ac:dyDescent="0.2"/>
    <row r="420" s="51" customFormat="1" ht="13.5" customHeight="1" x14ac:dyDescent="0.2"/>
    <row r="421" s="51" customFormat="1" ht="13.5" customHeight="1" x14ac:dyDescent="0.2"/>
    <row r="422" s="51" customFormat="1" ht="13.5" customHeight="1" x14ac:dyDescent="0.2"/>
    <row r="423" s="51" customFormat="1" ht="13.5" customHeight="1" x14ac:dyDescent="0.2"/>
    <row r="424" s="51" customFormat="1" ht="13.5" customHeight="1" x14ac:dyDescent="0.2"/>
    <row r="425" s="51" customFormat="1" ht="13.5" customHeight="1" x14ac:dyDescent="0.2"/>
    <row r="426" s="51" customFormat="1" ht="13.5" customHeight="1" x14ac:dyDescent="0.2"/>
    <row r="427" s="51" customFormat="1" ht="13.5" customHeight="1" x14ac:dyDescent="0.2"/>
    <row r="428" s="51" customFormat="1" ht="13.5" customHeight="1" x14ac:dyDescent="0.2"/>
    <row r="429" s="51" customFormat="1" ht="13.5" customHeight="1" x14ac:dyDescent="0.2"/>
    <row r="430" s="51" customFormat="1" ht="13.5" customHeight="1" x14ac:dyDescent="0.2"/>
    <row r="431" s="51" customFormat="1" ht="13.5" customHeight="1" x14ac:dyDescent="0.2"/>
    <row r="432" s="51" customFormat="1" ht="13.5" customHeight="1" x14ac:dyDescent="0.2"/>
    <row r="433" s="51" customFormat="1" ht="13.5" customHeight="1" x14ac:dyDescent="0.2"/>
    <row r="434" s="51" customFormat="1" ht="13.5" customHeight="1" x14ac:dyDescent="0.2"/>
    <row r="435" s="51" customFormat="1" ht="13.5" customHeight="1" x14ac:dyDescent="0.2"/>
    <row r="436" s="51" customFormat="1" ht="13.5" customHeight="1" x14ac:dyDescent="0.2"/>
    <row r="437" s="51" customFormat="1" ht="13.5" customHeight="1" x14ac:dyDescent="0.2"/>
    <row r="438" s="51" customFormat="1" ht="13.5" customHeight="1" x14ac:dyDescent="0.2"/>
    <row r="439" s="51" customFormat="1" ht="13.5" customHeight="1" x14ac:dyDescent="0.2"/>
    <row r="440" s="51" customFormat="1" ht="13.5" customHeight="1" x14ac:dyDescent="0.2"/>
    <row r="441" s="51" customFormat="1" ht="13.5" customHeight="1" x14ac:dyDescent="0.2"/>
    <row r="442" s="51" customFormat="1" ht="13.5" customHeight="1" x14ac:dyDescent="0.2"/>
    <row r="443" s="51" customFormat="1" ht="13.5" customHeight="1" x14ac:dyDescent="0.2"/>
    <row r="444" s="51" customFormat="1" ht="13.5" customHeight="1" x14ac:dyDescent="0.2"/>
    <row r="445" s="51" customFormat="1" ht="13.5" customHeight="1" x14ac:dyDescent="0.2"/>
    <row r="446" s="51" customFormat="1" ht="13.5" customHeight="1" x14ac:dyDescent="0.2"/>
    <row r="447" s="51" customFormat="1" ht="13.5" customHeight="1" x14ac:dyDescent="0.2"/>
    <row r="448" s="51" customFormat="1" ht="13.5" customHeight="1" x14ac:dyDescent="0.2"/>
    <row r="449" s="51" customFormat="1" ht="13.5" customHeight="1" x14ac:dyDescent="0.2"/>
    <row r="450" s="51" customFormat="1" ht="13.5" customHeight="1" x14ac:dyDescent="0.2"/>
    <row r="451" s="51" customFormat="1" ht="13.5" customHeight="1" x14ac:dyDescent="0.2"/>
    <row r="452" s="51" customFormat="1" ht="13.5" customHeight="1" x14ac:dyDescent="0.2"/>
    <row r="453" s="51" customFormat="1" ht="13.5" customHeight="1" x14ac:dyDescent="0.2"/>
    <row r="454" s="51" customFormat="1" ht="13.5" customHeight="1" x14ac:dyDescent="0.2"/>
    <row r="455" s="51" customFormat="1" ht="13.5" customHeight="1" x14ac:dyDescent="0.2"/>
    <row r="456" s="51" customFormat="1" ht="13.5" customHeight="1" x14ac:dyDescent="0.2"/>
    <row r="457" s="51" customFormat="1" ht="13.5" customHeight="1" x14ac:dyDescent="0.2"/>
    <row r="458" s="51" customFormat="1" ht="13.5" customHeight="1" x14ac:dyDescent="0.2"/>
    <row r="459" s="51" customFormat="1" ht="13.5" customHeight="1" x14ac:dyDescent="0.2"/>
    <row r="460" s="51" customFormat="1" ht="13.5" customHeight="1" x14ac:dyDescent="0.2"/>
    <row r="461" s="51" customFormat="1" ht="13.5" customHeight="1" x14ac:dyDescent="0.2"/>
    <row r="462" s="51" customFormat="1" ht="13.5" customHeight="1" x14ac:dyDescent="0.2"/>
    <row r="463" s="51" customFormat="1" ht="13.5" customHeight="1" x14ac:dyDescent="0.2"/>
    <row r="464" s="51" customFormat="1" ht="13.5" customHeight="1" x14ac:dyDescent="0.2"/>
    <row r="465" s="51" customFormat="1" ht="13.5" customHeight="1" x14ac:dyDescent="0.2"/>
    <row r="466" s="51" customFormat="1" ht="13.5" customHeight="1" x14ac:dyDescent="0.2"/>
    <row r="467" s="51" customFormat="1" ht="13.5" customHeight="1" x14ac:dyDescent="0.2"/>
    <row r="468" s="51" customFormat="1" ht="13.5" customHeight="1" x14ac:dyDescent="0.2"/>
    <row r="469" s="51" customFormat="1" ht="13.5" customHeight="1" x14ac:dyDescent="0.2"/>
    <row r="470" s="51" customFormat="1" ht="13.5" customHeight="1" x14ac:dyDescent="0.2"/>
    <row r="471" s="51" customFormat="1" ht="13.5" customHeight="1" x14ac:dyDescent="0.2"/>
    <row r="472" s="51" customFormat="1" ht="13.5" customHeight="1" x14ac:dyDescent="0.2"/>
    <row r="473" s="51" customFormat="1" ht="13.5" customHeight="1" x14ac:dyDescent="0.2"/>
    <row r="474" s="51" customFormat="1" ht="13.5" customHeight="1" x14ac:dyDescent="0.2"/>
    <row r="475" s="51" customFormat="1" ht="13.5" customHeight="1" x14ac:dyDescent="0.2"/>
    <row r="476" s="51" customFormat="1" ht="13.5" customHeight="1" x14ac:dyDescent="0.2"/>
    <row r="477" s="51" customFormat="1" ht="13.5" customHeight="1" x14ac:dyDescent="0.2"/>
    <row r="478" s="51" customFormat="1" ht="13.5" customHeight="1" x14ac:dyDescent="0.2"/>
    <row r="479" s="51" customFormat="1" ht="13.5" customHeight="1" x14ac:dyDescent="0.2"/>
    <row r="480" s="51" customFormat="1" ht="13.5" customHeight="1" x14ac:dyDescent="0.2"/>
    <row r="481" s="51" customFormat="1" ht="13.5" customHeight="1" x14ac:dyDescent="0.2"/>
    <row r="482" s="51" customFormat="1" ht="13.5" customHeight="1" x14ac:dyDescent="0.2"/>
    <row r="483" s="51" customFormat="1" ht="13.5" customHeight="1" x14ac:dyDescent="0.2"/>
    <row r="484" s="51" customFormat="1" ht="13.5" customHeight="1" x14ac:dyDescent="0.2"/>
    <row r="485" s="51" customFormat="1" ht="13.5" customHeight="1" x14ac:dyDescent="0.2"/>
    <row r="486" s="51" customFormat="1" ht="13.5" customHeight="1" x14ac:dyDescent="0.2"/>
    <row r="487" s="51" customFormat="1" ht="13.5" customHeight="1" x14ac:dyDescent="0.2"/>
    <row r="488" s="51" customFormat="1" ht="13.5" customHeight="1" x14ac:dyDescent="0.2"/>
    <row r="489" s="51" customFormat="1" ht="13.5" customHeight="1" x14ac:dyDescent="0.2"/>
    <row r="490" s="51" customFormat="1" ht="13.5" customHeight="1" x14ac:dyDescent="0.2"/>
    <row r="491" s="51" customFormat="1" ht="13.5" customHeight="1" x14ac:dyDescent="0.2"/>
    <row r="492" s="51" customFormat="1" ht="13.5" customHeight="1" x14ac:dyDescent="0.2"/>
    <row r="493" s="51" customFormat="1" ht="13.5" customHeight="1" x14ac:dyDescent="0.2"/>
    <row r="494" s="51" customFormat="1" ht="13.5" customHeight="1" x14ac:dyDescent="0.2"/>
    <row r="495" s="51" customFormat="1" ht="13.5" customHeight="1" x14ac:dyDescent="0.2"/>
    <row r="496" s="51" customFormat="1" ht="13.5" customHeight="1" x14ac:dyDescent="0.2"/>
    <row r="497" s="51" customFormat="1" ht="13.5" customHeight="1" x14ac:dyDescent="0.2"/>
    <row r="498" s="51" customFormat="1" ht="13.5" customHeight="1" x14ac:dyDescent="0.2"/>
    <row r="499" s="51" customFormat="1" ht="13.5" customHeight="1" x14ac:dyDescent="0.2"/>
    <row r="500" s="51" customFormat="1" ht="13.5" customHeight="1" x14ac:dyDescent="0.2"/>
    <row r="501" s="51" customFormat="1" ht="13.5" customHeight="1" x14ac:dyDescent="0.2"/>
    <row r="502" s="51" customFormat="1" ht="13.5" customHeight="1" x14ac:dyDescent="0.2"/>
    <row r="503" s="51" customFormat="1" ht="13.5" customHeight="1" x14ac:dyDescent="0.2"/>
    <row r="504" s="51" customFormat="1" ht="13.5" customHeight="1" x14ac:dyDescent="0.2"/>
    <row r="505" s="51" customFormat="1" ht="13.5" customHeight="1" x14ac:dyDescent="0.2"/>
    <row r="506" s="51" customFormat="1" ht="13.5" customHeight="1" x14ac:dyDescent="0.2"/>
    <row r="507" s="51" customFormat="1" ht="13.5" customHeight="1" x14ac:dyDescent="0.2"/>
    <row r="508" s="51" customFormat="1" ht="13.5" customHeight="1" x14ac:dyDescent="0.2"/>
    <row r="509" s="51" customFormat="1" ht="13.5" customHeight="1" x14ac:dyDescent="0.2"/>
    <row r="510" s="51" customFormat="1" ht="13.5" customHeight="1" x14ac:dyDescent="0.2"/>
    <row r="511" s="51" customFormat="1" ht="13.5" customHeight="1" x14ac:dyDescent="0.2"/>
    <row r="512" s="51" customFormat="1" ht="13.5" customHeight="1" x14ac:dyDescent="0.2"/>
    <row r="513" s="51" customFormat="1" ht="13.5" customHeight="1" x14ac:dyDescent="0.2"/>
    <row r="514" s="51" customFormat="1" ht="13.5" customHeight="1" x14ac:dyDescent="0.2"/>
    <row r="515" s="51" customFormat="1" ht="13.5" customHeight="1" x14ac:dyDescent="0.2"/>
    <row r="516" s="51" customFormat="1" ht="13.5" customHeight="1" x14ac:dyDescent="0.2"/>
    <row r="517" s="51" customFormat="1" ht="13.5" customHeight="1" x14ac:dyDescent="0.2"/>
    <row r="518" s="51" customFormat="1" ht="13.5" customHeight="1" x14ac:dyDescent="0.2"/>
    <row r="519" s="51" customFormat="1" ht="13.5" customHeight="1" x14ac:dyDescent="0.2"/>
    <row r="520" s="51" customFormat="1" ht="13.5" customHeight="1" x14ac:dyDescent="0.2"/>
    <row r="521" s="51" customFormat="1" ht="13.5" customHeight="1" x14ac:dyDescent="0.2"/>
    <row r="522" s="51" customFormat="1" ht="13.5" customHeight="1" x14ac:dyDescent="0.2"/>
    <row r="523" s="51" customFormat="1" ht="13.5" customHeight="1" x14ac:dyDescent="0.2"/>
    <row r="524" s="51" customFormat="1" ht="13.5" customHeight="1" x14ac:dyDescent="0.2"/>
    <row r="525" s="51" customFormat="1" ht="13.5" customHeight="1" x14ac:dyDescent="0.2"/>
    <row r="526" s="51" customFormat="1" ht="13.5" customHeight="1" x14ac:dyDescent="0.2"/>
    <row r="527" s="51" customFormat="1" ht="13.5" customHeight="1" x14ac:dyDescent="0.2"/>
    <row r="528" s="51" customFormat="1" ht="13.5" customHeight="1" x14ac:dyDescent="0.2"/>
    <row r="529" s="51" customFormat="1" ht="13.5" customHeight="1" x14ac:dyDescent="0.2"/>
    <row r="530" s="51" customFormat="1" ht="13.5" customHeight="1" x14ac:dyDescent="0.2"/>
    <row r="531" s="51" customFormat="1" ht="13.5" customHeight="1" x14ac:dyDescent="0.2"/>
    <row r="532" s="51" customFormat="1" ht="13.5" customHeight="1" x14ac:dyDescent="0.2"/>
    <row r="533" s="51" customFormat="1" ht="13.5" customHeight="1" x14ac:dyDescent="0.2"/>
    <row r="534" s="51" customFormat="1" ht="13.5" customHeight="1" x14ac:dyDescent="0.2"/>
    <row r="535" s="51" customFormat="1" ht="13.5" customHeight="1" x14ac:dyDescent="0.2"/>
    <row r="536" s="51" customFormat="1" ht="13.5" customHeight="1" x14ac:dyDescent="0.2"/>
    <row r="537" s="51" customFormat="1" ht="13.5" customHeight="1" x14ac:dyDescent="0.2"/>
    <row r="538" s="51" customFormat="1" ht="13.5" customHeight="1" x14ac:dyDescent="0.2"/>
    <row r="539" s="51" customFormat="1" ht="13.5" customHeight="1" x14ac:dyDescent="0.2"/>
    <row r="540" s="51" customFormat="1" ht="13.5" customHeight="1" x14ac:dyDescent="0.2"/>
    <row r="541" s="51" customFormat="1" ht="13.5" customHeight="1" x14ac:dyDescent="0.2"/>
    <row r="542" s="51" customFormat="1" ht="13.5" customHeight="1" x14ac:dyDescent="0.2"/>
    <row r="543" s="51" customFormat="1" ht="13.5" customHeight="1" x14ac:dyDescent="0.2"/>
    <row r="544" s="51" customFormat="1" ht="13.5" customHeight="1" x14ac:dyDescent="0.2"/>
    <row r="545" s="51" customFormat="1" ht="13.5" customHeight="1" x14ac:dyDescent="0.2"/>
    <row r="546" s="51" customFormat="1" ht="13.5" customHeight="1" x14ac:dyDescent="0.2"/>
    <row r="547" s="51" customFormat="1" ht="13.5" customHeight="1" x14ac:dyDescent="0.2"/>
    <row r="548" s="51" customFormat="1" ht="13.5" customHeight="1" x14ac:dyDescent="0.2"/>
    <row r="549" s="51" customFormat="1" ht="13.5" customHeight="1" x14ac:dyDescent="0.2"/>
    <row r="550" s="51" customFormat="1" ht="13.5" customHeight="1" x14ac:dyDescent="0.2"/>
    <row r="551" s="51" customFormat="1" ht="13.5" customHeight="1" x14ac:dyDescent="0.2"/>
    <row r="552" s="51" customFormat="1" ht="13.5" customHeight="1" x14ac:dyDescent="0.2"/>
    <row r="553" s="51" customFormat="1" ht="13.5" customHeight="1" x14ac:dyDescent="0.2"/>
    <row r="554" s="51" customFormat="1" ht="13.5" customHeight="1" x14ac:dyDescent="0.2"/>
    <row r="555" s="51" customFormat="1" ht="13.5" customHeight="1" x14ac:dyDescent="0.2"/>
    <row r="556" s="51" customFormat="1" ht="13.5" customHeight="1" x14ac:dyDescent="0.2"/>
    <row r="557" s="51" customFormat="1" ht="13.5" customHeight="1" x14ac:dyDescent="0.2"/>
    <row r="558" s="51" customFormat="1" ht="13.5" customHeight="1" x14ac:dyDescent="0.2"/>
    <row r="559" s="51" customFormat="1" ht="13.5" customHeight="1" x14ac:dyDescent="0.2"/>
    <row r="560" s="51" customFormat="1" ht="13.5" customHeight="1" x14ac:dyDescent="0.2"/>
    <row r="561" s="51" customFormat="1" ht="13.5" customHeight="1" x14ac:dyDescent="0.2"/>
    <row r="562" s="51" customFormat="1" ht="13.5" customHeight="1" x14ac:dyDescent="0.2"/>
    <row r="563" s="51" customFormat="1" ht="13.5" customHeight="1" x14ac:dyDescent="0.2"/>
    <row r="564" s="51" customFormat="1" ht="13.5" customHeight="1" x14ac:dyDescent="0.2"/>
    <row r="565" s="51" customFormat="1" ht="13.5" customHeight="1" x14ac:dyDescent="0.2"/>
    <row r="566" s="51" customFormat="1" ht="13.5" customHeight="1" x14ac:dyDescent="0.2"/>
    <row r="567" s="51" customFormat="1" ht="13.5" customHeight="1" x14ac:dyDescent="0.2"/>
    <row r="568" s="51" customFormat="1" ht="13.5" customHeight="1" x14ac:dyDescent="0.2"/>
    <row r="569" s="51" customFormat="1" ht="13.5" customHeight="1" x14ac:dyDescent="0.2"/>
    <row r="570" s="51" customFormat="1" ht="13.5" customHeight="1" x14ac:dyDescent="0.2"/>
    <row r="571" s="51" customFormat="1" ht="13.5" customHeight="1" x14ac:dyDescent="0.2"/>
    <row r="572" s="51" customFormat="1" ht="13.5" customHeight="1" x14ac:dyDescent="0.2"/>
    <row r="573" s="51" customFormat="1" ht="13.5" customHeight="1" x14ac:dyDescent="0.2"/>
    <row r="574" s="51" customFormat="1" ht="13.5" customHeight="1" x14ac:dyDescent="0.2"/>
    <row r="575" s="51" customFormat="1" ht="13.5" customHeight="1" x14ac:dyDescent="0.2"/>
    <row r="576" s="51" customFormat="1" ht="13.5" customHeight="1" x14ac:dyDescent="0.2"/>
    <row r="577" s="51" customFormat="1" ht="13.5" customHeight="1" x14ac:dyDescent="0.2"/>
    <row r="578" s="51" customFormat="1" ht="13.5" customHeight="1" x14ac:dyDescent="0.2"/>
    <row r="579" s="51" customFormat="1" ht="13.5" customHeight="1" x14ac:dyDescent="0.2"/>
    <row r="580" s="51" customFormat="1" ht="13.5" customHeight="1" x14ac:dyDescent="0.2"/>
    <row r="581" s="51" customFormat="1" ht="13.5" customHeight="1" x14ac:dyDescent="0.2"/>
    <row r="582" s="51" customFormat="1" ht="13.5" customHeight="1" x14ac:dyDescent="0.2"/>
    <row r="583" s="51" customFormat="1" ht="13.5" customHeight="1" x14ac:dyDescent="0.2"/>
    <row r="584" s="51" customFormat="1" ht="13.5" customHeight="1" x14ac:dyDescent="0.2"/>
    <row r="585" s="51" customFormat="1" ht="13.5" customHeight="1" x14ac:dyDescent="0.2"/>
    <row r="586" s="51" customFormat="1" ht="13.5" customHeight="1" x14ac:dyDescent="0.2"/>
    <row r="587" s="51" customFormat="1" ht="13.5" customHeight="1" x14ac:dyDescent="0.2"/>
    <row r="588" s="51" customFormat="1" ht="13.5" customHeight="1" x14ac:dyDescent="0.2"/>
    <row r="589" s="51" customFormat="1" ht="13.5" customHeight="1" x14ac:dyDescent="0.2"/>
    <row r="590" s="51" customFormat="1" ht="13.5" customHeight="1" x14ac:dyDescent="0.2"/>
    <row r="591" s="51" customFormat="1" ht="13.5" customHeight="1" x14ac:dyDescent="0.2"/>
    <row r="592" s="51" customFormat="1" ht="13.5" customHeight="1" x14ac:dyDescent="0.2"/>
    <row r="593" s="51" customFormat="1" ht="13.5" customHeight="1" x14ac:dyDescent="0.2"/>
    <row r="594" s="51" customFormat="1" ht="13.5" customHeight="1" x14ac:dyDescent="0.2"/>
    <row r="595" s="51" customFormat="1" ht="13.5" customHeight="1" x14ac:dyDescent="0.2"/>
    <row r="596" s="51" customFormat="1" ht="13.5" customHeight="1" x14ac:dyDescent="0.2"/>
    <row r="597" s="51" customFormat="1" ht="13.5" customHeight="1" x14ac:dyDescent="0.2"/>
    <row r="598" s="51" customFormat="1" ht="13.5" customHeight="1" x14ac:dyDescent="0.2"/>
    <row r="599" s="51" customFormat="1" ht="13.5" customHeight="1" x14ac:dyDescent="0.2"/>
    <row r="600" s="51" customFormat="1" ht="13.5" customHeight="1" x14ac:dyDescent="0.2"/>
    <row r="601" s="51" customFormat="1" ht="13.5" customHeight="1" x14ac:dyDescent="0.2"/>
    <row r="602" s="51" customFormat="1" ht="13.5" customHeight="1" x14ac:dyDescent="0.2"/>
    <row r="603" s="51" customFormat="1" ht="13.5" customHeight="1" x14ac:dyDescent="0.2"/>
    <row r="604" s="51" customFormat="1" ht="13.5" customHeight="1" x14ac:dyDescent="0.2"/>
    <row r="605" s="51" customFormat="1" ht="13.5" customHeight="1" x14ac:dyDescent="0.2"/>
    <row r="606" s="51" customFormat="1" ht="13.5" customHeight="1" x14ac:dyDescent="0.2"/>
    <row r="607" s="51" customFormat="1" ht="13.5" customHeight="1" x14ac:dyDescent="0.2"/>
    <row r="608" s="51" customFormat="1" ht="13.5" customHeight="1" x14ac:dyDescent="0.2"/>
    <row r="609" s="51" customFormat="1" ht="13.5" customHeight="1" x14ac:dyDescent="0.2"/>
    <row r="610" s="51" customFormat="1" ht="13.5" customHeight="1" x14ac:dyDescent="0.2"/>
    <row r="611" s="51" customFormat="1" ht="13.5" customHeight="1" x14ac:dyDescent="0.2"/>
    <row r="612" s="51" customFormat="1" ht="13.5" customHeight="1" x14ac:dyDescent="0.2"/>
    <row r="613" s="51" customFormat="1" ht="13.5" customHeight="1" x14ac:dyDescent="0.2"/>
    <row r="614" s="51" customFormat="1" ht="13.5" customHeight="1" x14ac:dyDescent="0.2"/>
    <row r="615" s="51" customFormat="1" ht="13.5" customHeight="1" x14ac:dyDescent="0.2"/>
    <row r="616" s="51" customFormat="1" ht="13.5" customHeight="1" x14ac:dyDescent="0.2"/>
    <row r="617" s="51" customFormat="1" ht="13.5" customHeight="1" x14ac:dyDescent="0.2"/>
    <row r="618" s="51" customFormat="1" ht="13.5" customHeight="1" x14ac:dyDescent="0.2"/>
    <row r="619" s="51" customFormat="1" ht="13.5" customHeight="1" x14ac:dyDescent="0.2"/>
    <row r="620" s="51" customFormat="1" ht="13.5" customHeight="1" x14ac:dyDescent="0.2"/>
    <row r="621" s="51" customFormat="1" ht="13.5" customHeight="1" x14ac:dyDescent="0.2"/>
    <row r="622" s="51" customFormat="1" ht="13.5" customHeight="1" x14ac:dyDescent="0.2"/>
    <row r="623" s="51" customFormat="1" ht="13.5" customHeight="1" x14ac:dyDescent="0.2"/>
    <row r="624" s="51" customFormat="1" ht="13.5" customHeight="1" x14ac:dyDescent="0.2"/>
    <row r="625" s="51" customFormat="1" ht="13.5" customHeight="1" x14ac:dyDescent="0.2"/>
    <row r="626" s="51" customFormat="1" ht="13.5" customHeight="1" x14ac:dyDescent="0.2"/>
    <row r="627" s="51" customFormat="1" ht="13.5" customHeight="1" x14ac:dyDescent="0.2"/>
    <row r="628" s="51" customFormat="1" ht="13.5" customHeight="1" x14ac:dyDescent="0.2"/>
    <row r="629" s="51" customFormat="1" ht="13.5" customHeight="1" x14ac:dyDescent="0.2"/>
    <row r="630" s="51" customFormat="1" ht="13.5" customHeight="1" x14ac:dyDescent="0.2"/>
    <row r="631" s="51" customFormat="1" ht="13.5" customHeight="1" x14ac:dyDescent="0.2"/>
    <row r="632" s="51" customFormat="1" ht="13.5" customHeight="1" x14ac:dyDescent="0.2"/>
    <row r="633" s="51" customFormat="1" ht="13.5" customHeight="1" x14ac:dyDescent="0.2"/>
    <row r="634" s="51" customFormat="1" ht="13.5" customHeight="1" x14ac:dyDescent="0.2"/>
    <row r="635" s="51" customFormat="1" ht="13.5" customHeight="1" x14ac:dyDescent="0.2"/>
    <row r="636" s="51" customFormat="1" ht="13.5" customHeight="1" x14ac:dyDescent="0.2"/>
    <row r="637" s="51" customFormat="1" ht="13.5" customHeight="1" x14ac:dyDescent="0.2"/>
    <row r="638" s="51" customFormat="1" ht="13.5" customHeight="1" x14ac:dyDescent="0.2"/>
    <row r="639" s="51" customFormat="1" ht="13.5" customHeight="1" x14ac:dyDescent="0.2"/>
    <row r="640" s="51" customFormat="1" ht="13.5" customHeight="1" x14ac:dyDescent="0.2"/>
    <row r="641" s="51" customFormat="1" ht="13.5" customHeight="1" x14ac:dyDescent="0.2"/>
    <row r="642" s="51" customFormat="1" ht="13.5" customHeight="1" x14ac:dyDescent="0.2"/>
    <row r="643" s="51" customFormat="1" ht="13.5" customHeight="1" x14ac:dyDescent="0.2"/>
    <row r="644" s="51" customFormat="1" ht="13.5" customHeight="1" x14ac:dyDescent="0.2"/>
    <row r="645" s="51" customFormat="1" ht="13.5" customHeight="1" x14ac:dyDescent="0.2"/>
    <row r="646" s="51" customFormat="1" ht="13.5" customHeight="1" x14ac:dyDescent="0.2"/>
    <row r="647" s="51" customFormat="1" ht="13.5" customHeight="1" x14ac:dyDescent="0.2"/>
    <row r="648" s="51" customFormat="1" ht="13.5" customHeight="1" x14ac:dyDescent="0.2"/>
    <row r="649" s="51" customFormat="1" ht="13.5" customHeight="1" x14ac:dyDescent="0.2"/>
    <row r="650" s="51" customFormat="1" ht="13.5" customHeight="1" x14ac:dyDescent="0.2"/>
    <row r="651" s="51" customFormat="1" ht="13.5" customHeight="1" x14ac:dyDescent="0.2"/>
    <row r="652" s="51" customFormat="1" ht="13.5" customHeight="1" x14ac:dyDescent="0.2"/>
    <row r="653" s="51" customFormat="1" ht="13.5" customHeight="1" x14ac:dyDescent="0.2"/>
    <row r="654" s="51" customFormat="1" ht="13.5" customHeight="1" x14ac:dyDescent="0.2"/>
    <row r="655" s="51" customFormat="1" ht="13.5" customHeight="1" x14ac:dyDescent="0.2"/>
    <row r="656" s="51" customFormat="1" ht="13.5" customHeight="1" x14ac:dyDescent="0.2"/>
    <row r="657" s="51" customFormat="1" ht="13.5" customHeight="1" x14ac:dyDescent="0.2"/>
    <row r="658" s="51" customFormat="1" ht="13.5" customHeight="1" x14ac:dyDescent="0.2"/>
    <row r="659" s="51" customFormat="1" ht="13.5" customHeight="1" x14ac:dyDescent="0.2"/>
    <row r="660" s="51" customFormat="1" ht="13.5" customHeight="1" x14ac:dyDescent="0.2"/>
    <row r="661" s="51" customFormat="1" ht="13.5" customHeight="1" x14ac:dyDescent="0.2"/>
    <row r="662" s="51" customFormat="1" ht="13.5" customHeight="1" x14ac:dyDescent="0.2"/>
    <row r="663" s="51" customFormat="1" ht="13.5" customHeight="1" x14ac:dyDescent="0.2"/>
    <row r="664" s="51" customFormat="1" ht="13.5" customHeight="1" x14ac:dyDescent="0.2"/>
    <row r="665" s="51" customFormat="1" ht="13.5" customHeight="1" x14ac:dyDescent="0.2"/>
    <row r="666" s="51" customFormat="1" ht="13.5" customHeight="1" x14ac:dyDescent="0.2"/>
    <row r="667" s="51" customFormat="1" ht="13.5" customHeight="1" x14ac:dyDescent="0.2"/>
    <row r="668" s="51" customFormat="1" ht="13.5" customHeight="1" x14ac:dyDescent="0.2"/>
    <row r="669" s="51" customFormat="1" ht="13.5" customHeight="1" x14ac:dyDescent="0.2"/>
    <row r="670" s="51" customFormat="1" ht="13.5" customHeight="1" x14ac:dyDescent="0.2"/>
    <row r="671" s="51" customFormat="1" ht="13.5" customHeight="1" x14ac:dyDescent="0.2"/>
    <row r="672" s="51" customFormat="1" ht="13.5" customHeight="1" x14ac:dyDescent="0.2"/>
    <row r="673" s="51" customFormat="1" ht="13.5" customHeight="1" x14ac:dyDescent="0.2"/>
    <row r="674" s="51" customFormat="1" ht="13.5" customHeight="1" x14ac:dyDescent="0.2"/>
    <row r="675" s="51" customFormat="1" ht="13.5" customHeight="1" x14ac:dyDescent="0.2"/>
    <row r="676" s="51" customFormat="1" ht="13.5" customHeight="1" x14ac:dyDescent="0.2"/>
    <row r="677" s="51" customFormat="1" ht="13.5" customHeight="1" x14ac:dyDescent="0.2"/>
    <row r="678" s="51" customFormat="1" ht="13.5" customHeight="1" x14ac:dyDescent="0.2"/>
    <row r="679" s="51" customFormat="1" ht="13.5" customHeight="1" x14ac:dyDescent="0.2"/>
    <row r="680" s="51" customFormat="1" ht="13.5" customHeight="1" x14ac:dyDescent="0.2"/>
    <row r="681" s="51" customFormat="1" ht="13.5" customHeight="1" x14ac:dyDescent="0.2"/>
    <row r="682" s="51" customFormat="1" ht="13.5" customHeight="1" x14ac:dyDescent="0.2"/>
    <row r="683" s="51" customFormat="1" ht="13.5" customHeight="1" x14ac:dyDescent="0.2"/>
    <row r="684" s="51" customFormat="1" ht="13.5" customHeight="1" x14ac:dyDescent="0.2"/>
    <row r="685" s="51" customFormat="1" ht="13.5" customHeight="1" x14ac:dyDescent="0.2"/>
    <row r="686" s="51" customFormat="1" ht="13.5" customHeight="1" x14ac:dyDescent="0.2"/>
    <row r="687" s="51" customFormat="1" ht="13.5" customHeight="1" x14ac:dyDescent="0.2"/>
    <row r="688" s="51" customFormat="1" ht="13.5" customHeight="1" x14ac:dyDescent="0.2"/>
    <row r="689" s="51" customFormat="1" ht="13.5" customHeight="1" x14ac:dyDescent="0.2"/>
    <row r="690" s="51" customFormat="1" ht="13.5" customHeight="1" x14ac:dyDescent="0.2"/>
    <row r="691" s="51" customFormat="1" ht="13.5" customHeight="1" x14ac:dyDescent="0.2"/>
    <row r="692" s="51" customFormat="1" ht="13.5" customHeight="1" x14ac:dyDescent="0.2"/>
    <row r="693" s="51" customFormat="1" ht="13.5" customHeight="1" x14ac:dyDescent="0.2"/>
    <row r="694" s="51" customFormat="1" ht="13.5" customHeight="1" x14ac:dyDescent="0.2"/>
    <row r="695" s="51" customFormat="1" ht="13.5" customHeight="1" x14ac:dyDescent="0.2"/>
    <row r="696" s="51" customFormat="1" ht="13.5" customHeight="1" x14ac:dyDescent="0.2"/>
    <row r="697" s="51" customFormat="1" ht="13.5" customHeight="1" x14ac:dyDescent="0.2"/>
    <row r="698" s="51" customFormat="1" ht="13.5" customHeight="1" x14ac:dyDescent="0.2"/>
    <row r="699" s="51" customFormat="1" ht="13.5" customHeight="1" x14ac:dyDescent="0.2"/>
    <row r="700" s="51" customFormat="1" ht="13.5" customHeight="1" x14ac:dyDescent="0.2"/>
    <row r="701" s="51" customFormat="1" ht="13.5" customHeight="1" x14ac:dyDescent="0.2"/>
    <row r="702" s="51" customFormat="1" ht="13.5" customHeight="1" x14ac:dyDescent="0.2"/>
    <row r="703" s="51" customFormat="1" ht="13.5" customHeight="1" x14ac:dyDescent="0.2"/>
    <row r="704" s="51" customFormat="1" ht="13.5" customHeight="1" x14ac:dyDescent="0.2"/>
    <row r="705" s="51" customFormat="1" ht="13.5" customHeight="1" x14ac:dyDescent="0.2"/>
    <row r="706" s="51" customFormat="1" ht="13.5" customHeight="1" x14ac:dyDescent="0.2"/>
    <row r="707" s="51" customFormat="1" ht="13.5" customHeight="1" x14ac:dyDescent="0.2"/>
    <row r="708" s="51" customFormat="1" ht="13.5" customHeight="1" x14ac:dyDescent="0.2"/>
    <row r="709" s="51" customFormat="1" ht="13.5" customHeight="1" x14ac:dyDescent="0.2"/>
    <row r="710" s="51" customFormat="1" ht="13.5" customHeight="1" x14ac:dyDescent="0.2"/>
    <row r="711" s="51" customFormat="1" ht="13.5" customHeight="1" x14ac:dyDescent="0.2"/>
    <row r="712" s="51" customFormat="1" ht="13.5" customHeight="1" x14ac:dyDescent="0.2"/>
    <row r="713" s="51" customFormat="1" ht="13.5" customHeight="1" x14ac:dyDescent="0.2"/>
    <row r="714" s="51" customFormat="1" ht="13.5" customHeight="1" x14ac:dyDescent="0.2"/>
    <row r="715" s="51" customFormat="1" ht="13.5" customHeight="1" x14ac:dyDescent="0.2"/>
    <row r="716" s="51" customFormat="1" ht="13.5" customHeight="1" x14ac:dyDescent="0.2"/>
    <row r="717" s="51" customFormat="1" ht="13.5" customHeight="1" x14ac:dyDescent="0.2"/>
    <row r="718" s="51" customFormat="1" ht="13.5" customHeight="1" x14ac:dyDescent="0.2"/>
    <row r="719" s="51" customFormat="1" ht="13.5" customHeight="1" x14ac:dyDescent="0.2"/>
    <row r="720" s="51" customFormat="1" ht="13.5" customHeight="1" x14ac:dyDescent="0.2"/>
    <row r="721" s="51" customFormat="1" ht="13.5" customHeight="1" x14ac:dyDescent="0.2"/>
    <row r="722" s="51" customFormat="1" ht="13.5" customHeight="1" x14ac:dyDescent="0.2"/>
    <row r="723" s="51" customFormat="1" ht="13.5" customHeight="1" x14ac:dyDescent="0.2"/>
    <row r="724" s="51" customFormat="1" ht="13.5" customHeight="1" x14ac:dyDescent="0.2"/>
    <row r="725" s="51" customFormat="1" ht="13.5" customHeight="1" x14ac:dyDescent="0.2"/>
    <row r="726" s="51" customFormat="1" ht="13.5" customHeight="1" x14ac:dyDescent="0.2"/>
    <row r="727" s="51" customFormat="1" ht="13.5" customHeight="1" x14ac:dyDescent="0.2"/>
    <row r="728" s="51" customFormat="1" ht="13.5" customHeight="1" x14ac:dyDescent="0.2"/>
    <row r="729" s="51" customFormat="1" ht="13.5" customHeight="1" x14ac:dyDescent="0.2"/>
    <row r="730" s="51" customFormat="1" ht="13.5" customHeight="1" x14ac:dyDescent="0.2"/>
    <row r="731" s="51" customFormat="1" ht="13.5" customHeight="1" x14ac:dyDescent="0.2"/>
    <row r="732" s="51" customFormat="1" ht="13.5" customHeight="1" x14ac:dyDescent="0.2"/>
    <row r="733" s="51" customFormat="1" ht="13.5" customHeight="1" x14ac:dyDescent="0.2"/>
    <row r="734" s="51" customFormat="1" ht="13.5" customHeight="1" x14ac:dyDescent="0.2"/>
    <row r="735" s="51" customFormat="1" ht="13.5" customHeight="1" x14ac:dyDescent="0.2"/>
    <row r="736" s="51" customFormat="1" ht="13.5" customHeight="1" x14ac:dyDescent="0.2"/>
    <row r="737" s="51" customFormat="1" ht="13.5" customHeight="1" x14ac:dyDescent="0.2"/>
    <row r="738" s="51" customFormat="1" ht="13.5" customHeight="1" x14ac:dyDescent="0.2"/>
    <row r="739" s="51" customFormat="1" ht="13.5" customHeight="1" x14ac:dyDescent="0.2"/>
    <row r="740" s="51" customFormat="1" ht="13.5" customHeight="1" x14ac:dyDescent="0.2"/>
    <row r="741" s="51" customFormat="1" ht="13.5" customHeight="1" x14ac:dyDescent="0.2"/>
    <row r="742" s="51" customFormat="1" ht="13.5" customHeight="1" x14ac:dyDescent="0.2"/>
    <row r="743" s="51" customFormat="1" ht="13.5" customHeight="1" x14ac:dyDescent="0.2"/>
    <row r="744" s="51" customFormat="1" ht="13.5" customHeight="1" x14ac:dyDescent="0.2"/>
    <row r="745" s="51" customFormat="1" ht="13.5" customHeight="1" x14ac:dyDescent="0.2"/>
    <row r="746" s="51" customFormat="1" ht="13.5" customHeight="1" x14ac:dyDescent="0.2"/>
    <row r="747" s="51" customFormat="1" ht="13.5" customHeight="1" x14ac:dyDescent="0.2"/>
    <row r="748" s="51" customFormat="1" ht="13.5" customHeight="1" x14ac:dyDescent="0.2"/>
    <row r="749" s="51" customFormat="1" ht="13.5" customHeight="1" x14ac:dyDescent="0.2"/>
    <row r="750" s="51" customFormat="1" ht="13.5" customHeight="1" x14ac:dyDescent="0.2"/>
    <row r="751" s="51" customFormat="1" ht="13.5" customHeight="1" x14ac:dyDescent="0.2"/>
    <row r="752" s="51" customFormat="1" ht="13.5" customHeight="1" x14ac:dyDescent="0.2"/>
    <row r="753" s="51" customFormat="1" ht="13.5" customHeight="1" x14ac:dyDescent="0.2"/>
    <row r="754" s="51" customFormat="1" ht="13.5" customHeight="1" x14ac:dyDescent="0.2"/>
    <row r="755" s="51" customFormat="1" ht="13.5" customHeight="1" x14ac:dyDescent="0.2"/>
    <row r="756" s="51" customFormat="1" ht="13.5" customHeight="1" x14ac:dyDescent="0.2"/>
    <row r="757" s="51" customFormat="1" ht="13.5" customHeight="1" x14ac:dyDescent="0.2"/>
    <row r="758" s="51" customFormat="1" ht="13.5" customHeight="1" x14ac:dyDescent="0.2"/>
    <row r="759" s="51" customFormat="1" ht="13.5" customHeight="1" x14ac:dyDescent="0.2"/>
    <row r="760" s="51" customFormat="1" ht="13.5" customHeight="1" x14ac:dyDescent="0.2"/>
    <row r="761" s="51" customFormat="1" ht="13.5" customHeight="1" x14ac:dyDescent="0.2"/>
    <row r="762" s="51" customFormat="1" ht="13.5" customHeight="1" x14ac:dyDescent="0.2"/>
    <row r="763" s="51" customFormat="1" ht="13.5" customHeight="1" x14ac:dyDescent="0.2"/>
    <row r="764" s="51" customFormat="1" ht="13.5" customHeight="1" x14ac:dyDescent="0.2"/>
    <row r="765" s="51" customFormat="1" ht="13.5" customHeight="1" x14ac:dyDescent="0.2"/>
    <row r="766" s="51" customFormat="1" ht="13.5" customHeight="1" x14ac:dyDescent="0.2"/>
    <row r="767" s="51" customFormat="1" ht="13.5" customHeight="1" x14ac:dyDescent="0.2"/>
    <row r="768" s="51" customFormat="1" ht="13.5" customHeight="1" x14ac:dyDescent="0.2"/>
    <row r="769" s="51" customFormat="1" ht="13.5" customHeight="1" x14ac:dyDescent="0.2"/>
    <row r="770" s="51" customFormat="1" ht="13.5" customHeight="1" x14ac:dyDescent="0.2"/>
    <row r="771" s="51" customFormat="1" ht="13.5" customHeight="1" x14ac:dyDescent="0.2"/>
    <row r="772" s="51" customFormat="1" ht="13.5" customHeight="1" x14ac:dyDescent="0.2"/>
    <row r="773" s="51" customFormat="1" ht="13.5" customHeight="1" x14ac:dyDescent="0.2"/>
    <row r="774" s="51" customFormat="1" ht="13.5" customHeight="1" x14ac:dyDescent="0.2"/>
    <row r="775" s="51" customFormat="1" ht="13.5" customHeight="1" x14ac:dyDescent="0.2"/>
    <row r="776" s="51" customFormat="1" ht="13.5" customHeight="1" x14ac:dyDescent="0.2"/>
    <row r="777" s="51" customFormat="1" ht="13.5" customHeight="1" x14ac:dyDescent="0.2"/>
    <row r="778" s="51" customFormat="1" ht="13.5" customHeight="1" x14ac:dyDescent="0.2"/>
    <row r="779" s="51" customFormat="1" ht="13.5" customHeight="1" x14ac:dyDescent="0.2"/>
    <row r="780" s="51" customFormat="1" ht="13.5" customHeight="1" x14ac:dyDescent="0.2"/>
    <row r="781" s="51" customFormat="1" ht="13.5" customHeight="1" x14ac:dyDescent="0.2"/>
    <row r="782" s="51" customFormat="1" ht="13.5" customHeight="1" x14ac:dyDescent="0.2"/>
    <row r="783" s="51" customFormat="1" ht="13.5" customHeight="1" x14ac:dyDescent="0.2"/>
    <row r="784" s="51" customFormat="1" ht="13.5" customHeight="1" x14ac:dyDescent="0.2"/>
    <row r="785" s="51" customFormat="1" ht="13.5" customHeight="1" x14ac:dyDescent="0.2"/>
    <row r="786" s="51" customFormat="1" ht="13.5" customHeight="1" x14ac:dyDescent="0.2"/>
    <row r="787" s="51" customFormat="1" ht="13.5" customHeight="1" x14ac:dyDescent="0.2"/>
    <row r="788" s="51" customFormat="1" ht="13.5" customHeight="1" x14ac:dyDescent="0.2"/>
    <row r="789" s="51" customFormat="1" ht="13.5" customHeight="1" x14ac:dyDescent="0.2"/>
    <row r="790" s="51" customFormat="1" ht="13.5" customHeight="1" x14ac:dyDescent="0.2"/>
    <row r="791" s="51" customFormat="1" ht="13.5" customHeight="1" x14ac:dyDescent="0.2"/>
    <row r="792" s="51" customFormat="1" ht="13.5" customHeight="1" x14ac:dyDescent="0.2"/>
    <row r="793" s="51" customFormat="1" ht="13.5" customHeight="1" x14ac:dyDescent="0.2"/>
    <row r="794" s="51" customFormat="1" ht="13.5" customHeight="1" x14ac:dyDescent="0.2"/>
    <row r="795" s="51" customFormat="1" ht="13.5" customHeight="1" x14ac:dyDescent="0.2"/>
    <row r="796" s="51" customFormat="1" ht="13.5" customHeight="1" x14ac:dyDescent="0.2"/>
    <row r="797" s="51" customFormat="1" ht="13.5" customHeight="1" x14ac:dyDescent="0.2"/>
    <row r="798" s="51" customFormat="1" ht="13.5" customHeight="1" x14ac:dyDescent="0.2"/>
    <row r="799" s="51" customFormat="1" ht="13.5" customHeight="1" x14ac:dyDescent="0.2"/>
    <row r="800" s="51" customFormat="1" ht="13.5" customHeight="1" x14ac:dyDescent="0.2"/>
    <row r="801" s="51" customFormat="1" ht="13.5" customHeight="1" x14ac:dyDescent="0.2"/>
    <row r="802" s="51" customFormat="1" ht="13.5" customHeight="1" x14ac:dyDescent="0.2"/>
    <row r="803" s="51" customFormat="1" ht="13.5" customHeight="1" x14ac:dyDescent="0.2"/>
    <row r="804" s="51" customFormat="1" ht="13.5" customHeight="1" x14ac:dyDescent="0.2"/>
    <row r="805" s="51" customFormat="1" ht="13.5" customHeight="1" x14ac:dyDescent="0.2"/>
    <row r="806" s="51" customFormat="1" ht="13.5" customHeight="1" x14ac:dyDescent="0.2"/>
    <row r="807" s="51" customFormat="1" ht="13.5" customHeight="1" x14ac:dyDescent="0.2"/>
    <row r="808" s="51" customFormat="1" ht="13.5" customHeight="1" x14ac:dyDescent="0.2"/>
    <row r="809" s="51" customFormat="1" ht="13.5" customHeight="1" x14ac:dyDescent="0.2"/>
    <row r="810" s="51" customFormat="1" ht="13.5" customHeight="1" x14ac:dyDescent="0.2"/>
    <row r="811" s="51" customFormat="1" ht="13.5" customHeight="1" x14ac:dyDescent="0.2"/>
    <row r="812" s="51" customFormat="1" ht="13.5" customHeight="1" x14ac:dyDescent="0.2"/>
    <row r="813" s="51" customFormat="1" ht="13.5" customHeight="1" x14ac:dyDescent="0.2"/>
    <row r="814" s="51" customFormat="1" ht="13.5" customHeight="1" x14ac:dyDescent="0.2"/>
    <row r="815" s="51" customFormat="1" ht="13.5" customHeight="1" x14ac:dyDescent="0.2"/>
    <row r="816" s="51" customFormat="1" ht="13.5" customHeight="1" x14ac:dyDescent="0.2"/>
    <row r="817" s="51" customFormat="1" ht="13.5" customHeight="1" x14ac:dyDescent="0.2"/>
    <row r="818" s="51" customFormat="1" ht="13.5" customHeight="1" x14ac:dyDescent="0.2"/>
    <row r="819" s="51" customFormat="1" ht="13.5" customHeight="1" x14ac:dyDescent="0.2"/>
    <row r="820" s="51" customFormat="1" ht="13.5" customHeight="1" x14ac:dyDescent="0.2"/>
    <row r="821" s="51" customFormat="1" ht="13.5" customHeight="1" x14ac:dyDescent="0.2"/>
    <row r="822" s="51" customFormat="1" ht="13.5" customHeight="1" x14ac:dyDescent="0.2"/>
    <row r="823" s="51" customFormat="1" ht="13.5" customHeight="1" x14ac:dyDescent="0.2"/>
    <row r="824" s="51" customFormat="1" ht="13.5" customHeight="1" x14ac:dyDescent="0.2"/>
    <row r="825" s="51" customFormat="1" ht="13.5" customHeight="1" x14ac:dyDescent="0.2"/>
    <row r="826" s="51" customFormat="1" ht="13.5" customHeight="1" x14ac:dyDescent="0.2"/>
    <row r="827" s="51" customFormat="1" ht="13.5" customHeight="1" x14ac:dyDescent="0.2"/>
    <row r="828" s="51" customFormat="1" ht="13.5" customHeight="1" x14ac:dyDescent="0.2"/>
    <row r="829" s="51" customFormat="1" ht="13.5" customHeight="1" x14ac:dyDescent="0.2"/>
    <row r="830" s="51" customFormat="1" ht="13.5" customHeight="1" x14ac:dyDescent="0.2"/>
    <row r="831" s="51" customFormat="1" ht="13.5" customHeight="1" x14ac:dyDescent="0.2"/>
    <row r="832" s="51" customFormat="1" ht="13.5" customHeight="1" x14ac:dyDescent="0.2"/>
    <row r="833" s="51" customFormat="1" ht="13.5" customHeight="1" x14ac:dyDescent="0.2"/>
    <row r="834" s="51" customFormat="1" ht="13.5" customHeight="1" x14ac:dyDescent="0.2"/>
    <row r="835" s="51" customFormat="1" ht="13.5" customHeight="1" x14ac:dyDescent="0.2"/>
    <row r="836" s="51" customFormat="1" ht="13.5" customHeight="1" x14ac:dyDescent="0.2"/>
    <row r="837" s="51" customFormat="1" ht="13.5" customHeight="1" x14ac:dyDescent="0.2"/>
    <row r="838" s="51" customFormat="1" ht="13.5" customHeight="1" x14ac:dyDescent="0.2"/>
    <row r="839" s="51" customFormat="1" ht="13.5" customHeight="1" x14ac:dyDescent="0.2"/>
    <row r="840" s="51" customFormat="1" ht="13.5" customHeight="1" x14ac:dyDescent="0.2"/>
    <row r="841" s="51" customFormat="1" ht="13.5" customHeight="1" x14ac:dyDescent="0.2"/>
    <row r="842" s="51" customFormat="1" ht="13.5" customHeight="1" x14ac:dyDescent="0.2"/>
    <row r="843" s="51" customFormat="1" ht="13.5" customHeight="1" x14ac:dyDescent="0.2"/>
    <row r="844" s="51" customFormat="1" ht="13.5" customHeight="1" x14ac:dyDescent="0.2"/>
    <row r="845" s="51" customFormat="1" ht="13.5" customHeight="1" x14ac:dyDescent="0.2"/>
    <row r="846" s="51" customFormat="1" ht="13.5" customHeight="1" x14ac:dyDescent="0.2"/>
    <row r="847" s="51" customFormat="1" ht="13.5" customHeight="1" x14ac:dyDescent="0.2"/>
    <row r="848" s="51" customFormat="1" ht="13.5" customHeight="1" x14ac:dyDescent="0.2"/>
    <row r="849" s="51" customFormat="1" ht="13.5" customHeight="1" x14ac:dyDescent="0.2"/>
    <row r="850" s="51" customFormat="1" ht="13.5" customHeight="1" x14ac:dyDescent="0.2"/>
    <row r="851" s="51" customFormat="1" ht="13.5" customHeight="1" x14ac:dyDescent="0.2"/>
    <row r="852" s="51" customFormat="1" ht="13.5" customHeight="1" x14ac:dyDescent="0.2"/>
    <row r="853" s="51" customFormat="1" ht="13.5" customHeight="1" x14ac:dyDescent="0.2"/>
    <row r="854" s="51" customFormat="1" ht="13.5" customHeight="1" x14ac:dyDescent="0.2"/>
    <row r="855" s="51" customFormat="1" ht="13.5" customHeight="1" x14ac:dyDescent="0.2"/>
    <row r="856" s="51" customFormat="1" ht="13.5" customHeight="1" x14ac:dyDescent="0.2"/>
    <row r="857" s="51" customFormat="1" ht="13.5" customHeight="1" x14ac:dyDescent="0.2"/>
    <row r="858" s="51" customFormat="1" ht="13.5" customHeight="1" x14ac:dyDescent="0.2"/>
    <row r="859" s="51" customFormat="1" ht="13.5" customHeight="1" x14ac:dyDescent="0.2"/>
    <row r="860" s="51" customFormat="1" ht="13.5" customHeight="1" x14ac:dyDescent="0.2"/>
    <row r="861" s="51" customFormat="1" ht="13.5" customHeight="1" x14ac:dyDescent="0.2"/>
    <row r="862" s="51" customFormat="1" ht="13.5" customHeight="1" x14ac:dyDescent="0.2"/>
    <row r="863" s="51" customFormat="1" ht="13.5" customHeight="1" x14ac:dyDescent="0.2"/>
    <row r="864" s="51" customFormat="1" ht="13.5" customHeight="1" x14ac:dyDescent="0.2"/>
    <row r="865" s="51" customFormat="1" ht="13.5" customHeight="1" x14ac:dyDescent="0.2"/>
    <row r="866" s="51" customFormat="1" ht="13.5" customHeight="1" x14ac:dyDescent="0.2"/>
    <row r="867" s="51" customFormat="1" ht="13.5" customHeight="1" x14ac:dyDescent="0.2"/>
    <row r="868" s="51" customFormat="1" ht="13.5" customHeight="1" x14ac:dyDescent="0.2"/>
    <row r="869" s="51" customFormat="1" ht="13.5" customHeight="1" x14ac:dyDescent="0.2"/>
    <row r="870" s="51" customFormat="1" ht="13.5" customHeight="1" x14ac:dyDescent="0.2"/>
    <row r="871" s="51" customFormat="1" ht="13.5" customHeight="1" x14ac:dyDescent="0.2"/>
    <row r="872" s="51" customFormat="1" ht="13.5" customHeight="1" x14ac:dyDescent="0.2"/>
    <row r="873" s="51" customFormat="1" ht="13.5" customHeight="1" x14ac:dyDescent="0.2"/>
    <row r="874" s="51" customFormat="1" ht="13.5" customHeight="1" x14ac:dyDescent="0.2"/>
    <row r="875" s="51" customFormat="1" ht="13.5" customHeight="1" x14ac:dyDescent="0.2"/>
    <row r="876" s="51" customFormat="1" ht="13.5" customHeight="1" x14ac:dyDescent="0.2"/>
    <row r="877" s="51" customFormat="1" ht="13.5" customHeight="1" x14ac:dyDescent="0.2"/>
    <row r="878" s="51" customFormat="1" ht="13.5" customHeight="1" x14ac:dyDescent="0.2"/>
    <row r="879" s="51" customFormat="1" ht="13.5" customHeight="1" x14ac:dyDescent="0.2"/>
    <row r="880" s="51" customFormat="1" ht="13.5" customHeight="1" x14ac:dyDescent="0.2"/>
    <row r="881" s="51" customFormat="1" ht="13.5" customHeight="1" x14ac:dyDescent="0.2"/>
    <row r="882" s="51" customFormat="1" ht="13.5" customHeight="1" x14ac:dyDescent="0.2"/>
    <row r="883" s="51" customFormat="1" ht="13.5" customHeight="1" x14ac:dyDescent="0.2"/>
    <row r="884" s="51" customFormat="1" ht="13.5" customHeight="1" x14ac:dyDescent="0.2"/>
    <row r="885" s="51" customFormat="1" ht="13.5" customHeight="1" x14ac:dyDescent="0.2"/>
    <row r="886" s="51" customFormat="1" ht="13.5" customHeight="1" x14ac:dyDescent="0.2"/>
    <row r="887" s="51" customFormat="1" ht="13.5" customHeight="1" x14ac:dyDescent="0.2"/>
    <row r="888" s="51" customFormat="1" ht="13.5" customHeight="1" x14ac:dyDescent="0.2"/>
    <row r="889" s="51" customFormat="1" ht="13.5" customHeight="1" x14ac:dyDescent="0.2"/>
    <row r="890" s="51" customFormat="1" ht="13.5" customHeight="1" x14ac:dyDescent="0.2"/>
    <row r="891" s="51" customFormat="1" ht="13.5" customHeight="1" x14ac:dyDescent="0.2"/>
    <row r="892" s="51" customFormat="1" ht="13.5" customHeight="1" x14ac:dyDescent="0.2"/>
    <row r="893" s="51" customFormat="1" ht="13.5" customHeight="1" x14ac:dyDescent="0.2"/>
    <row r="894" s="51" customFormat="1" ht="13.5" customHeight="1" x14ac:dyDescent="0.2"/>
    <row r="895" s="51" customFormat="1" ht="13.5" customHeight="1" x14ac:dyDescent="0.2"/>
    <row r="896" s="51" customFormat="1" ht="13.5" customHeight="1" x14ac:dyDescent="0.2"/>
    <row r="897" s="51" customFormat="1" ht="13.5" customHeight="1" x14ac:dyDescent="0.2"/>
    <row r="898" s="51" customFormat="1" ht="13.5" customHeight="1" x14ac:dyDescent="0.2"/>
    <row r="899" s="51" customFormat="1" ht="13.5" customHeight="1" x14ac:dyDescent="0.2"/>
    <row r="900" s="51" customFormat="1" ht="13.5" customHeight="1" x14ac:dyDescent="0.2"/>
    <row r="901" s="51" customFormat="1" ht="13.5" customHeight="1" x14ac:dyDescent="0.2"/>
    <row r="902" s="51" customFormat="1" ht="13.5" customHeight="1" x14ac:dyDescent="0.2"/>
    <row r="903" s="51" customFormat="1" ht="13.5" customHeight="1" x14ac:dyDescent="0.2"/>
    <row r="904" s="51" customFormat="1" ht="13.5" customHeight="1" x14ac:dyDescent="0.2"/>
    <row r="905" s="51" customFormat="1" ht="13.5" customHeight="1" x14ac:dyDescent="0.2"/>
    <row r="906" s="51" customFormat="1" ht="13.5" customHeight="1" x14ac:dyDescent="0.2"/>
    <row r="907" s="51" customFormat="1" ht="13.5" customHeight="1" x14ac:dyDescent="0.2"/>
    <row r="908" s="51" customFormat="1" ht="13.5" customHeight="1" x14ac:dyDescent="0.2"/>
    <row r="909" s="51" customFormat="1" ht="13.5" customHeight="1" x14ac:dyDescent="0.2"/>
    <row r="910" s="51" customFormat="1" ht="13.5" customHeight="1" x14ac:dyDescent="0.2"/>
    <row r="911" s="51" customFormat="1" ht="13.5" customHeight="1" x14ac:dyDescent="0.2"/>
    <row r="912" s="51" customFormat="1" ht="13.5" customHeight="1" x14ac:dyDescent="0.2"/>
    <row r="913" s="51" customFormat="1" ht="13.5" customHeight="1" x14ac:dyDescent="0.2"/>
    <row r="914" s="51" customFormat="1" ht="13.5" customHeight="1" x14ac:dyDescent="0.2"/>
    <row r="915" s="51" customFormat="1" ht="13.5" customHeight="1" x14ac:dyDescent="0.2"/>
    <row r="916" s="51" customFormat="1" ht="13.5" customHeight="1" x14ac:dyDescent="0.2"/>
    <row r="917" s="51" customFormat="1" ht="13.5" customHeight="1" x14ac:dyDescent="0.2"/>
    <row r="918" s="51" customFormat="1" ht="13.5" customHeight="1" x14ac:dyDescent="0.2"/>
    <row r="919" s="51" customFormat="1" ht="13.5" customHeight="1" x14ac:dyDescent="0.2"/>
    <row r="920" s="51" customFormat="1" ht="13.5" customHeight="1" x14ac:dyDescent="0.2"/>
    <row r="921" s="51" customFormat="1" ht="13.5" customHeight="1" x14ac:dyDescent="0.2"/>
    <row r="922" s="51" customFormat="1" ht="13.5" customHeight="1" x14ac:dyDescent="0.2"/>
    <row r="923" s="51" customFormat="1" ht="13.5" customHeight="1" x14ac:dyDescent="0.2"/>
    <row r="924" s="51" customFormat="1" ht="13.5" customHeight="1" x14ac:dyDescent="0.2"/>
    <row r="925" s="51" customFormat="1" ht="13.5" customHeight="1" x14ac:dyDescent="0.2"/>
    <row r="926" s="51" customFormat="1" ht="13.5" customHeight="1" x14ac:dyDescent="0.2"/>
    <row r="927" s="51" customFormat="1" ht="13.5" customHeight="1" x14ac:dyDescent="0.2"/>
    <row r="928" s="51" customFormat="1" ht="13.5" customHeight="1" x14ac:dyDescent="0.2"/>
    <row r="929" s="51" customFormat="1" ht="13.5" customHeight="1" x14ac:dyDescent="0.2"/>
    <row r="930" s="51" customFormat="1" ht="13.5" customHeight="1" x14ac:dyDescent="0.2"/>
    <row r="931" s="51" customFormat="1" ht="13.5" customHeight="1" x14ac:dyDescent="0.2"/>
    <row r="932" s="51" customFormat="1" ht="13.5" customHeight="1" x14ac:dyDescent="0.2"/>
    <row r="933" s="51" customFormat="1" ht="13.5" customHeight="1" x14ac:dyDescent="0.2"/>
    <row r="934" s="51" customFormat="1" ht="13.5" customHeight="1" x14ac:dyDescent="0.2"/>
    <row r="935" s="51" customFormat="1" ht="13.5" customHeight="1" x14ac:dyDescent="0.2"/>
    <row r="936" s="51" customFormat="1" ht="13.5" customHeight="1" x14ac:dyDescent="0.2"/>
    <row r="937" s="51" customFormat="1" ht="13.5" customHeight="1" x14ac:dyDescent="0.2"/>
    <row r="938" s="51" customFormat="1" ht="13.5" customHeight="1" x14ac:dyDescent="0.2"/>
    <row r="939" s="51" customFormat="1" ht="13.5" customHeight="1" x14ac:dyDescent="0.2"/>
    <row r="940" s="51" customFormat="1" ht="13.5" customHeight="1" x14ac:dyDescent="0.2"/>
    <row r="941" s="51" customFormat="1" ht="13.5" customHeight="1" x14ac:dyDescent="0.2"/>
    <row r="942" s="51" customFormat="1" ht="13.5" customHeight="1" x14ac:dyDescent="0.2"/>
    <row r="943" s="51" customFormat="1" ht="13.5" customHeight="1" x14ac:dyDescent="0.2"/>
    <row r="944" s="51" customFormat="1" ht="13.5" customHeight="1" x14ac:dyDescent="0.2"/>
    <row r="945" s="51" customFormat="1" ht="13.5" customHeight="1" x14ac:dyDescent="0.2"/>
    <row r="946" s="51" customFormat="1" ht="13.5" customHeight="1" x14ac:dyDescent="0.2"/>
    <row r="947" s="51" customFormat="1" ht="13.5" customHeight="1" x14ac:dyDescent="0.2"/>
    <row r="948" s="51" customFormat="1" ht="13.5" customHeight="1" x14ac:dyDescent="0.2"/>
    <row r="949" s="51" customFormat="1" ht="13.5" customHeight="1" x14ac:dyDescent="0.2"/>
    <row r="950" s="51" customFormat="1" ht="13.5" customHeight="1" x14ac:dyDescent="0.2"/>
    <row r="951" s="51" customFormat="1" ht="13.5" customHeight="1" x14ac:dyDescent="0.2"/>
    <row r="952" s="51" customFormat="1" ht="13.5" customHeight="1" x14ac:dyDescent="0.2"/>
    <row r="953" s="51" customFormat="1" ht="13.5" customHeight="1" x14ac:dyDescent="0.2"/>
    <row r="954" s="51" customFormat="1" ht="13.5" customHeight="1" x14ac:dyDescent="0.2"/>
    <row r="955" s="51" customFormat="1" ht="13.5" customHeight="1" x14ac:dyDescent="0.2"/>
    <row r="956" s="51" customFormat="1" ht="13.5" customHeight="1" x14ac:dyDescent="0.2"/>
    <row r="957" s="51" customFormat="1" ht="13.5" customHeight="1" x14ac:dyDescent="0.2"/>
    <row r="958" s="51" customFormat="1" ht="13.5" customHeight="1" x14ac:dyDescent="0.2"/>
    <row r="959" s="51" customFormat="1" ht="13.5" customHeight="1" x14ac:dyDescent="0.2"/>
    <row r="960" s="51" customFormat="1" ht="13.5" customHeight="1" x14ac:dyDescent="0.2"/>
    <row r="961" s="51" customFormat="1" ht="13.5" customHeight="1" x14ac:dyDescent="0.2"/>
    <row r="962" s="51" customFormat="1" ht="13.5" customHeight="1" x14ac:dyDescent="0.2"/>
    <row r="963" s="51" customFormat="1" ht="13.5" customHeight="1" x14ac:dyDescent="0.2"/>
    <row r="964" s="51" customFormat="1" ht="13.5" customHeight="1" x14ac:dyDescent="0.2"/>
    <row r="965" s="51" customFormat="1" ht="13.5" customHeight="1" x14ac:dyDescent="0.2"/>
    <row r="966" s="51" customFormat="1" ht="13.5" customHeight="1" x14ac:dyDescent="0.2"/>
    <row r="967" s="51" customFormat="1" ht="13.5" customHeight="1" x14ac:dyDescent="0.2"/>
    <row r="968" s="51" customFormat="1" ht="13.5" customHeight="1" x14ac:dyDescent="0.2"/>
    <row r="969" s="51" customFormat="1" ht="13.5" customHeight="1" x14ac:dyDescent="0.2"/>
    <row r="970" s="51" customFormat="1" ht="13.5" customHeight="1" x14ac:dyDescent="0.2"/>
    <row r="971" s="51" customFormat="1" ht="13.5" customHeight="1" x14ac:dyDescent="0.2"/>
    <row r="972" s="51" customFormat="1" ht="13.5" customHeight="1" x14ac:dyDescent="0.2"/>
    <row r="973" s="51" customFormat="1" ht="13.5" customHeight="1" x14ac:dyDescent="0.2"/>
    <row r="974" s="51" customFormat="1" ht="13.5" customHeight="1" x14ac:dyDescent="0.2"/>
    <row r="975" s="51" customFormat="1" ht="13.5" customHeight="1" x14ac:dyDescent="0.2"/>
    <row r="976" s="51" customFormat="1" ht="13.5" customHeight="1" x14ac:dyDescent="0.2"/>
    <row r="977" s="51" customFormat="1" ht="13.5" customHeight="1" x14ac:dyDescent="0.2"/>
    <row r="978" s="51" customFormat="1" ht="13.5" customHeight="1" x14ac:dyDescent="0.2"/>
    <row r="979" s="51" customFormat="1" ht="13.5" customHeight="1" x14ac:dyDescent="0.2"/>
    <row r="980" s="51" customFormat="1" ht="13.5" customHeight="1" x14ac:dyDescent="0.2"/>
    <row r="981" s="51" customFormat="1" ht="13.5" customHeight="1" x14ac:dyDescent="0.2"/>
    <row r="982" s="51" customFormat="1" ht="13.5" customHeight="1" x14ac:dyDescent="0.2"/>
    <row r="983" s="51" customFormat="1" ht="13.5" customHeight="1" x14ac:dyDescent="0.2"/>
    <row r="984" s="51" customFormat="1" ht="13.5" customHeight="1" x14ac:dyDescent="0.2"/>
    <row r="985" s="51" customFormat="1" ht="13.5" customHeight="1" x14ac:dyDescent="0.2"/>
    <row r="986" s="51" customFormat="1" ht="13.5" customHeight="1" x14ac:dyDescent="0.2"/>
    <row r="987" s="51" customFormat="1" ht="13.5" customHeight="1" x14ac:dyDescent="0.2"/>
    <row r="988" s="51" customFormat="1" ht="13.5" customHeight="1" x14ac:dyDescent="0.2"/>
    <row r="989" s="51" customFormat="1" ht="13.5" customHeight="1" x14ac:dyDescent="0.2"/>
    <row r="990" s="51" customFormat="1" ht="13.5" customHeight="1" x14ac:dyDescent="0.2"/>
    <row r="991" s="51" customFormat="1" ht="13.5" customHeight="1" x14ac:dyDescent="0.2"/>
    <row r="992" s="51" customFormat="1" ht="13.5" customHeight="1" x14ac:dyDescent="0.2"/>
    <row r="993" s="51" customFormat="1" ht="13.5" customHeight="1" x14ac:dyDescent="0.2"/>
    <row r="994" s="51" customFormat="1" ht="13.5" customHeight="1" x14ac:dyDescent="0.2"/>
    <row r="995" s="51" customFormat="1" ht="13.5" customHeight="1" x14ac:dyDescent="0.2"/>
    <row r="996" s="51" customFormat="1" ht="13.5" customHeight="1" x14ac:dyDescent="0.2"/>
    <row r="997" s="51" customFormat="1" ht="13.5" customHeight="1" x14ac:dyDescent="0.2"/>
    <row r="998" s="51" customFormat="1" ht="13.5" customHeight="1" x14ac:dyDescent="0.2"/>
    <row r="999" s="51" customFormat="1" ht="13.5" customHeight="1" x14ac:dyDescent="0.2"/>
    <row r="1000" s="51" customFormat="1" ht="13.5" customHeight="1" x14ac:dyDescent="0.2"/>
  </sheetData>
  <mergeCells count="2">
    <mergeCell ref="B2:N3"/>
    <mergeCell ref="B4:N4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N1000"/>
  <sheetViews>
    <sheetView showGridLines="0" workbookViewId="0">
      <selection activeCell="B23" sqref="B23:N23"/>
    </sheetView>
  </sheetViews>
  <sheetFormatPr baseColWidth="10" defaultColWidth="12.6640625" defaultRowHeight="15" customHeight="1" x14ac:dyDescent="0.2"/>
  <cols>
    <col min="1" max="1" width="3.33203125" style="51" customWidth="1"/>
    <col min="2" max="2" width="31" style="51" customWidth="1"/>
    <col min="3" max="14" width="12" style="51" customWidth="1"/>
    <col min="15" max="27" width="8.83203125" style="51" customWidth="1"/>
    <col min="28" max="16384" width="12.6640625" style="51"/>
  </cols>
  <sheetData>
    <row r="2" spans="2:14" ht="13.5" customHeight="1" x14ac:dyDescent="0.2">
      <c r="B2" s="57" t="s">
        <v>332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</row>
    <row r="3" spans="2:14" ht="13.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</row>
    <row r="4" spans="2:14" ht="13.5" customHeight="1" x14ac:dyDescent="0.2">
      <c r="B4" s="74" t="s">
        <v>338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6" spans="2:14" ht="13.5" customHeight="1" x14ac:dyDescent="0.2">
      <c r="B6" s="50" t="s">
        <v>183</v>
      </c>
      <c r="C6" s="49">
        <v>46388</v>
      </c>
      <c r="D6" s="18">
        <v>46419</v>
      </c>
      <c r="E6" s="18">
        <v>46447</v>
      </c>
      <c r="F6" s="18">
        <v>46478</v>
      </c>
      <c r="G6" s="18">
        <v>46508</v>
      </c>
      <c r="H6" s="18">
        <v>46539</v>
      </c>
      <c r="I6" s="18">
        <v>46569</v>
      </c>
      <c r="J6" s="18">
        <v>46600</v>
      </c>
      <c r="K6" s="18">
        <v>46631</v>
      </c>
      <c r="L6" s="18">
        <v>46661</v>
      </c>
      <c r="M6" s="18">
        <v>46692</v>
      </c>
      <c r="N6" s="18">
        <v>46722</v>
      </c>
    </row>
    <row r="7" spans="2:14" ht="13.5" customHeight="1" x14ac:dyDescent="0.2"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2:14" ht="13.5" customHeight="1" x14ac:dyDescent="0.2">
      <c r="B8" s="66" t="s">
        <v>339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8"/>
    </row>
    <row r="9" spans="2:14" ht="13.5" customHeight="1" x14ac:dyDescent="0.2">
      <c r="B9" s="19" t="s">
        <v>340</v>
      </c>
      <c r="C9" s="21">
        <f>CF!C$34</f>
        <v>4427.7870627508773</v>
      </c>
      <c r="D9" s="21">
        <f>CF!D$34</f>
        <v>4040.044318442212</v>
      </c>
      <c r="E9" s="21">
        <f>CF!E$34</f>
        <v>3646.2752665000457</v>
      </c>
      <c r="F9" s="21">
        <f>CF!F$34</f>
        <v>3258.3848750978659</v>
      </c>
      <c r="G9" s="21">
        <f>CF!G$34</f>
        <v>2874.9009907342006</v>
      </c>
      <c r="H9" s="21">
        <f>CF!H$34</f>
        <v>2494.9772915572917</v>
      </c>
      <c r="I9" s="21">
        <f>CF!I$34</f>
        <v>2117.7722256870011</v>
      </c>
      <c r="J9" s="21">
        <f>CF!J$34</f>
        <v>1742.4489824795949</v>
      </c>
      <c r="K9" s="21">
        <f>CF!K$34</f>
        <v>1368.1754639648798</v>
      </c>
      <c r="L9" s="21">
        <f>CF!L$34</f>
        <v>994.12425645469227</v>
      </c>
      <c r="M9" s="21">
        <f>CF!M$34</f>
        <v>619.47260232167775</v>
      </c>
      <c r="N9" s="21">
        <f>CF!N$34</f>
        <v>243.40237194736096</v>
      </c>
    </row>
    <row r="10" spans="2:14" ht="13.5" customHeight="1" x14ac:dyDescent="0.2">
      <c r="B10" s="19" t="s">
        <v>341</v>
      </c>
      <c r="C10" s="21">
        <f>WC!C$11</f>
        <v>928.961082236842</v>
      </c>
      <c r="D10" s="21">
        <f>WC!D$11</f>
        <v>987.15767403955329</v>
      </c>
      <c r="E10" s="21">
        <f>WC!E$11</f>
        <v>1049.6289467291592</v>
      </c>
      <c r="F10" s="21">
        <f>WC!F$11</f>
        <v>1118.0190576429877</v>
      </c>
      <c r="G10" s="21">
        <f>WC!G$11</f>
        <v>1192.7487036616626</v>
      </c>
      <c r="H10" s="21">
        <f>WC!H$11</f>
        <v>1273.7823767530062</v>
      </c>
      <c r="I10" s="21">
        <f>WC!I$11</f>
        <v>1361.0847828807171</v>
      </c>
      <c r="J10" s="21">
        <f>WC!J$11</f>
        <v>1454.6208407207494</v>
      </c>
      <c r="K10" s="21">
        <f>WC!K$11</f>
        <v>1554.3556803853953</v>
      </c>
      <c r="L10" s="21">
        <f>WC!L$11</f>
        <v>1660.2546421550217</v>
      </c>
      <c r="M10" s="21">
        <f>WC!M$11</f>
        <v>1772.2832752174181</v>
      </c>
      <c r="N10" s="21">
        <f>WC!N$11</f>
        <v>1890.4073364147077</v>
      </c>
    </row>
    <row r="11" spans="2:14" ht="13.5" customHeight="1" x14ac:dyDescent="0.2">
      <c r="B11" s="19" t="s">
        <v>342</v>
      </c>
      <c r="C11" s="21">
        <f>WC!C$23</f>
        <v>22</v>
      </c>
      <c r="D11" s="21">
        <f>WC!D$23</f>
        <v>22</v>
      </c>
      <c r="E11" s="21">
        <f>WC!E$23</f>
        <v>22</v>
      </c>
      <c r="F11" s="21">
        <f>WC!F$23</f>
        <v>22</v>
      </c>
      <c r="G11" s="21">
        <f>WC!G$23</f>
        <v>22</v>
      </c>
      <c r="H11" s="21">
        <f>WC!H$23</f>
        <v>22</v>
      </c>
      <c r="I11" s="21">
        <f>WC!I$23</f>
        <v>22</v>
      </c>
      <c r="J11" s="21">
        <f>WC!J$23</f>
        <v>22</v>
      </c>
      <c r="K11" s="21">
        <f>WC!K$23</f>
        <v>22</v>
      </c>
      <c r="L11" s="21">
        <f>WC!L$23</f>
        <v>22</v>
      </c>
      <c r="M11" s="21">
        <f>WC!M$23</f>
        <v>22</v>
      </c>
      <c r="N11" s="21">
        <f>WC!N$23</f>
        <v>22</v>
      </c>
    </row>
    <row r="12" spans="2:14" ht="13.5" customHeight="1" x14ac:dyDescent="0.2">
      <c r="B12" s="19" t="s">
        <v>343</v>
      </c>
      <c r="C12" s="21">
        <f>'FA &amp; D&amp;A'!C$19</f>
        <v>952.77777777777783</v>
      </c>
      <c r="D12" s="21">
        <f>'FA &amp; D&amp;A'!D$19</f>
        <v>1003.3333333333333</v>
      </c>
      <c r="E12" s="21">
        <f>'FA &amp; D&amp;A'!E$19</f>
        <v>1051.6666666666665</v>
      </c>
      <c r="F12" s="21">
        <f>'FA &amp; D&amp;A'!F$19</f>
        <v>1097.7777777777778</v>
      </c>
      <c r="G12" s="21">
        <f>'FA &amp; D&amp;A'!G$19</f>
        <v>1141.6666666666665</v>
      </c>
      <c r="H12" s="21">
        <f>'FA &amp; D&amp;A'!H$19</f>
        <v>1183.3333333333333</v>
      </c>
      <c r="I12" s="21">
        <f>'FA &amp; D&amp;A'!I$19</f>
        <v>1222.7777777777778</v>
      </c>
      <c r="J12" s="21">
        <f>'FA &amp; D&amp;A'!J$19</f>
        <v>1260</v>
      </c>
      <c r="K12" s="21">
        <f>'FA &amp; D&amp;A'!K$19</f>
        <v>1295</v>
      </c>
      <c r="L12" s="21">
        <f>'FA &amp; D&amp;A'!L$19</f>
        <v>1327.7777777777778</v>
      </c>
      <c r="M12" s="21">
        <f>'FA &amp; D&amp;A'!M$19</f>
        <v>1358.3333333333333</v>
      </c>
      <c r="N12" s="21">
        <f>'FA &amp; D&amp;A'!N$19</f>
        <v>1386.6666666666665</v>
      </c>
    </row>
    <row r="13" spans="2:14" ht="13.5" customHeight="1" x14ac:dyDescent="0.2">
      <c r="B13" s="19" t="s">
        <v>344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</row>
    <row r="14" spans="2:14" ht="13.5" customHeight="1" x14ac:dyDescent="0.2">
      <c r="B14" s="22" t="s">
        <v>345</v>
      </c>
      <c r="C14" s="23">
        <f t="shared" ref="C14:N14" si="0">SUM(C9:C13)</f>
        <v>6331.5259227654969</v>
      </c>
      <c r="D14" s="23">
        <f t="shared" si="0"/>
        <v>6052.5353258150981</v>
      </c>
      <c r="E14" s="23">
        <f t="shared" si="0"/>
        <v>5769.5708798958713</v>
      </c>
      <c r="F14" s="23">
        <f t="shared" si="0"/>
        <v>5496.181710518631</v>
      </c>
      <c r="G14" s="23">
        <f t="shared" si="0"/>
        <v>5231.3163610625297</v>
      </c>
      <c r="H14" s="23">
        <f t="shared" si="0"/>
        <v>4974.0930016436314</v>
      </c>
      <c r="I14" s="23">
        <f t="shared" si="0"/>
        <v>4723.6347863454957</v>
      </c>
      <c r="J14" s="23">
        <f t="shared" si="0"/>
        <v>4479.0698232003442</v>
      </c>
      <c r="K14" s="23">
        <f t="shared" si="0"/>
        <v>4239.5311443502751</v>
      </c>
      <c r="L14" s="23">
        <f t="shared" si="0"/>
        <v>4004.1566763874916</v>
      </c>
      <c r="M14" s="23">
        <f t="shared" si="0"/>
        <v>3772.0892108724292</v>
      </c>
      <c r="N14" s="23">
        <f t="shared" si="0"/>
        <v>3542.4763750287352</v>
      </c>
    </row>
    <row r="15" spans="2:14" ht="13.5" customHeight="1" x14ac:dyDescent="0.2">
      <c r="B15" s="19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2:14" ht="13.5" customHeight="1" x14ac:dyDescent="0.2">
      <c r="B16" s="66" t="s">
        <v>346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8"/>
    </row>
    <row r="17" spans="2:14" ht="13.5" customHeight="1" x14ac:dyDescent="0.2">
      <c r="B17" s="19" t="s">
        <v>347</v>
      </c>
      <c r="C17" s="21">
        <f>WC!C$17</f>
        <v>118.76000092105262</v>
      </c>
      <c r="D17" s="21">
        <f>WC!D$17</f>
        <v>126.14263062158851</v>
      </c>
      <c r="E17" s="21">
        <f>WC!E$17</f>
        <v>134.25521078986756</v>
      </c>
      <c r="F17" s="21">
        <f>WC!F$17</f>
        <v>143.29242207584062</v>
      </c>
      <c r="G17" s="21">
        <f>WC!G$17</f>
        <v>153.0853951865374</v>
      </c>
      <c r="H17" s="21">
        <f>WC!H$17</f>
        <v>163.62989905242372</v>
      </c>
      <c r="I17" s="21">
        <f>WC!I$17</f>
        <v>174.92172810410452</v>
      </c>
      <c r="J17" s="21">
        <f>WC!J$17</f>
        <v>186.95670211936581</v>
      </c>
      <c r="K17" s="21">
        <f>WC!K$17</f>
        <v>199.73066607113392</v>
      </c>
      <c r="L17" s="21">
        <f>WC!L$17</f>
        <v>213.23948997634767</v>
      </c>
      <c r="M17" s="21">
        <f>WC!M$17</f>
        <v>227.47906874573667</v>
      </c>
      <c r="N17" s="21">
        <f>WC!N$17</f>
        <v>242.44532203450146</v>
      </c>
    </row>
    <row r="18" spans="2:14" ht="13.5" customHeight="1" x14ac:dyDescent="0.2">
      <c r="B18" s="19" t="s">
        <v>348</v>
      </c>
      <c r="C18" s="21">
        <f>WC!C$29</f>
        <v>114.278875</v>
      </c>
      <c r="D18" s="21">
        <f>WC!D$29</f>
        <v>117.82595175000002</v>
      </c>
      <c r="E18" s="21">
        <f>WC!E$29</f>
        <v>121.3517460395</v>
      </c>
      <c r="F18" s="21">
        <f>WC!F$29</f>
        <v>124.85638556326302</v>
      </c>
      <c r="G18" s="21">
        <f>WC!G$29</f>
        <v>128.33999724988345</v>
      </c>
      <c r="H18" s="21">
        <f>WC!H$29</f>
        <v>131.80270726638409</v>
      </c>
      <c r="I18" s="21">
        <f>WC!I$29</f>
        <v>135.24464102278583</v>
      </c>
      <c r="J18" s="21">
        <f>WC!J$29</f>
        <v>138.6659231766491</v>
      </c>
      <c r="K18" s="21">
        <f>WC!K$29</f>
        <v>142.06667763758921</v>
      </c>
      <c r="L18" s="21">
        <f>WC!L$29</f>
        <v>145.44702757176364</v>
      </c>
      <c r="M18" s="21">
        <f>WC!M$29</f>
        <v>148.8070954063331</v>
      </c>
      <c r="N18" s="21">
        <f>WC!N$29</f>
        <v>152.1470028338951</v>
      </c>
    </row>
    <row r="19" spans="2:14" ht="13.5" customHeight="1" x14ac:dyDescent="0.2">
      <c r="B19" s="19" t="s">
        <v>349</v>
      </c>
      <c r="C19" s="21">
        <f>WC!C$36</f>
        <v>1051.1100000000001</v>
      </c>
      <c r="D19" s="21">
        <f>WC!D$36</f>
        <v>1489.3383399999998</v>
      </c>
      <c r="E19" s="21">
        <f>WC!E$36</f>
        <v>1926.0489273835828</v>
      </c>
      <c r="F19" s="21">
        <f>WC!F$36</f>
        <v>2371.3229871472704</v>
      </c>
      <c r="G19" s="21">
        <f>WC!G$36</f>
        <v>2820.5506571524984</v>
      </c>
      <c r="H19" s="21">
        <f>WC!H$36</f>
        <v>3269.1480263705898</v>
      </c>
      <c r="I19" s="21">
        <f>WC!I$36</f>
        <v>3712.5569785360831</v>
      </c>
      <c r="J19" s="21">
        <f>WC!J$36</f>
        <v>4146.2450367379042</v>
      </c>
      <c r="K19" s="21">
        <f>WC!K$36</f>
        <v>4565.7052089427452</v>
      </c>
      <c r="L19" s="21">
        <f>WC!L$36</f>
        <v>4966.4558344450725</v>
      </c>
      <c r="M19" s="21">
        <f>WC!M$36</f>
        <v>5344.0404312381843</v>
      </c>
      <c r="N19" s="21">
        <f>WC!N$36</f>
        <v>5694.0275443008068</v>
      </c>
    </row>
    <row r="20" spans="2:14" ht="13.5" customHeight="1" x14ac:dyDescent="0.2">
      <c r="B20" s="19" t="s">
        <v>350</v>
      </c>
      <c r="C20" s="21">
        <f>'Fin, Tax &amp; Equity'!C$12</f>
        <v>1450</v>
      </c>
      <c r="D20" s="21">
        <f>'Fin, Tax &amp; Equity'!D$12</f>
        <v>1400</v>
      </c>
      <c r="E20" s="21">
        <f>'Fin, Tax &amp; Equity'!E$12</f>
        <v>1350</v>
      </c>
      <c r="F20" s="21">
        <f>'Fin, Tax &amp; Equity'!F$12</f>
        <v>1300</v>
      </c>
      <c r="G20" s="21">
        <f>'Fin, Tax &amp; Equity'!G$12</f>
        <v>1250</v>
      </c>
      <c r="H20" s="21">
        <f>'Fin, Tax &amp; Equity'!H$12</f>
        <v>1200</v>
      </c>
      <c r="I20" s="21">
        <f>'Fin, Tax &amp; Equity'!I$12</f>
        <v>1150</v>
      </c>
      <c r="J20" s="21">
        <f>'Fin, Tax &amp; Equity'!J$12</f>
        <v>1100</v>
      </c>
      <c r="K20" s="21">
        <f>'Fin, Tax &amp; Equity'!K$12</f>
        <v>1050</v>
      </c>
      <c r="L20" s="21">
        <f>'Fin, Tax &amp; Equity'!L$12</f>
        <v>1000</v>
      </c>
      <c r="M20" s="21">
        <f>'Fin, Tax &amp; Equity'!M$12</f>
        <v>950</v>
      </c>
      <c r="N20" s="21">
        <f>'Fin, Tax &amp; Equity'!N$12</f>
        <v>900</v>
      </c>
    </row>
    <row r="21" spans="2:14" ht="13.5" customHeight="1" x14ac:dyDescent="0.2">
      <c r="B21" s="19" t="s">
        <v>351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</row>
    <row r="22" spans="2:14" ht="13.5" customHeight="1" x14ac:dyDescent="0.2">
      <c r="B22" s="22" t="s">
        <v>352</v>
      </c>
      <c r="C22" s="23">
        <f t="shared" ref="C22:N22" si="1">SUM(C17:C21)</f>
        <v>2734.1488759210529</v>
      </c>
      <c r="D22" s="23">
        <f t="shared" si="1"/>
        <v>3133.3069223715884</v>
      </c>
      <c r="E22" s="23">
        <f t="shared" si="1"/>
        <v>3531.6558842129502</v>
      </c>
      <c r="F22" s="23">
        <f t="shared" si="1"/>
        <v>3939.4717947863742</v>
      </c>
      <c r="G22" s="23">
        <f t="shared" si="1"/>
        <v>4351.9760495889186</v>
      </c>
      <c r="H22" s="23">
        <f t="shared" si="1"/>
        <v>4764.580632689398</v>
      </c>
      <c r="I22" s="23">
        <f t="shared" si="1"/>
        <v>5172.7233476629735</v>
      </c>
      <c r="J22" s="23">
        <f t="shared" si="1"/>
        <v>5571.8676620339193</v>
      </c>
      <c r="K22" s="23">
        <f t="shared" si="1"/>
        <v>5957.5025526514682</v>
      </c>
      <c r="L22" s="23">
        <f t="shared" si="1"/>
        <v>6325.1423519931841</v>
      </c>
      <c r="M22" s="23">
        <f t="shared" si="1"/>
        <v>6670.3265953902537</v>
      </c>
      <c r="N22" s="23">
        <f t="shared" si="1"/>
        <v>6988.6198691692034</v>
      </c>
    </row>
    <row r="23" spans="2:14" ht="13.5" customHeight="1" x14ac:dyDescent="0.2">
      <c r="B23" s="1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2:14" ht="13.5" customHeight="1" x14ac:dyDescent="0.2">
      <c r="B24" s="66" t="s">
        <v>353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8"/>
    </row>
    <row r="25" spans="2:14" ht="13.5" customHeight="1" x14ac:dyDescent="0.2">
      <c r="B25" s="19" t="s">
        <v>354</v>
      </c>
      <c r="C25" s="21">
        <f>'Fin, Tax &amp; Equity'!C$26</f>
        <v>2000</v>
      </c>
      <c r="D25" s="21">
        <f>'Fin, Tax &amp; Equity'!D$26</f>
        <v>2000</v>
      </c>
      <c r="E25" s="21">
        <f>'Fin, Tax &amp; Equity'!E$26</f>
        <v>2000</v>
      </c>
      <c r="F25" s="21">
        <f>'Fin, Tax &amp; Equity'!F$26</f>
        <v>2000</v>
      </c>
      <c r="G25" s="21">
        <f>'Fin, Tax &amp; Equity'!G$26</f>
        <v>2000</v>
      </c>
      <c r="H25" s="21">
        <f>'Fin, Tax &amp; Equity'!H$26</f>
        <v>2000</v>
      </c>
      <c r="I25" s="21">
        <f>'Fin, Tax &amp; Equity'!I$26</f>
        <v>2000</v>
      </c>
      <c r="J25" s="21">
        <f>'Fin, Tax &amp; Equity'!J$26</f>
        <v>2000</v>
      </c>
      <c r="K25" s="21">
        <f>'Fin, Tax &amp; Equity'!K$26</f>
        <v>2000</v>
      </c>
      <c r="L25" s="21">
        <f>'Fin, Tax &amp; Equity'!L$26</f>
        <v>2000</v>
      </c>
      <c r="M25" s="21">
        <f>'Fin, Tax &amp; Equity'!M$26</f>
        <v>2000</v>
      </c>
      <c r="N25" s="21">
        <f>'Fin, Tax &amp; Equity'!N$26</f>
        <v>2000</v>
      </c>
    </row>
    <row r="26" spans="2:14" ht="13.5" customHeight="1" x14ac:dyDescent="0.2">
      <c r="B26" s="19" t="s">
        <v>54</v>
      </c>
      <c r="C26" s="21">
        <f>'Fin, Tax &amp; Equity'!C$34</f>
        <v>1597.3770468444445</v>
      </c>
      <c r="D26" s="21">
        <f>'Fin, Tax &amp; Equity'!D$34</f>
        <v>919.22840344351073</v>
      </c>
      <c r="E26" s="21">
        <f>'Fin, Tax &amp; Equity'!E$34</f>
        <v>237.91499568292159</v>
      </c>
      <c r="F26" s="21">
        <f>'Fin, Tax &amp; Equity'!F$34</f>
        <v>-443.29008426774203</v>
      </c>
      <c r="G26" s="21">
        <f>'Fin, Tax &amp; Equity'!G$34</f>
        <v>-1120.6596885263889</v>
      </c>
      <c r="H26" s="21">
        <f>'Fin, Tax &amp; Equity'!H$34</f>
        <v>-1790.4876310457662</v>
      </c>
      <c r="I26" s="21">
        <f>'Fin, Tax &amp; Equity'!I$34</f>
        <v>-2449.0885613174769</v>
      </c>
      <c r="J26" s="21">
        <f>'Fin, Tax &amp; Equity'!J$34</f>
        <v>-3092.7978388335746</v>
      </c>
      <c r="K26" s="21">
        <f>'Fin, Tax &amp; Equity'!K$34</f>
        <v>-3717.9714083011932</v>
      </c>
      <c r="L26" s="21">
        <f>'Fin, Tax &amp; Equity'!L$34</f>
        <v>-4320.9856756056915</v>
      </c>
      <c r="M26" s="21">
        <f>'Fin, Tax &amp; Equity'!M$34</f>
        <v>-4898.2373845178245</v>
      </c>
      <c r="N26" s="21">
        <f>'Fin, Tax &amp; Equity'!N$34</f>
        <v>-5446.1434941404677</v>
      </c>
    </row>
    <row r="27" spans="2:14" ht="13.5" customHeight="1" x14ac:dyDescent="0.2">
      <c r="B27" s="19" t="s">
        <v>355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</row>
    <row r="28" spans="2:14" ht="13.5" customHeight="1" x14ac:dyDescent="0.2">
      <c r="B28" s="22" t="s">
        <v>356</v>
      </c>
      <c r="C28" s="23">
        <f t="shared" ref="C28:N28" si="2">SUM(C25:C27)</f>
        <v>3597.3770468444445</v>
      </c>
      <c r="D28" s="23">
        <f t="shared" si="2"/>
        <v>2919.2284034435106</v>
      </c>
      <c r="E28" s="23">
        <f t="shared" si="2"/>
        <v>2237.9149956829215</v>
      </c>
      <c r="F28" s="23">
        <f t="shared" si="2"/>
        <v>1556.709915732258</v>
      </c>
      <c r="G28" s="23">
        <f t="shared" si="2"/>
        <v>879.34031147361111</v>
      </c>
      <c r="H28" s="23">
        <f t="shared" si="2"/>
        <v>209.51236895423381</v>
      </c>
      <c r="I28" s="23">
        <f t="shared" si="2"/>
        <v>-449.08856131747689</v>
      </c>
      <c r="J28" s="23">
        <f t="shared" si="2"/>
        <v>-1092.7978388335746</v>
      </c>
      <c r="K28" s="23">
        <f t="shared" si="2"/>
        <v>-1717.9714083011932</v>
      </c>
      <c r="L28" s="23">
        <f t="shared" si="2"/>
        <v>-2320.9856756056915</v>
      </c>
      <c r="M28" s="23">
        <f t="shared" si="2"/>
        <v>-2898.2373845178245</v>
      </c>
      <c r="N28" s="23">
        <f t="shared" si="2"/>
        <v>-3446.1434941404677</v>
      </c>
    </row>
    <row r="29" spans="2:14" ht="13.5" customHeight="1" x14ac:dyDescent="0.2">
      <c r="B29" s="22" t="s">
        <v>357</v>
      </c>
      <c r="C29" s="23">
        <f t="shared" ref="C29:N29" si="3">C22+C28</f>
        <v>6331.5259227654969</v>
      </c>
      <c r="D29" s="23">
        <f t="shared" si="3"/>
        <v>6052.535325815099</v>
      </c>
      <c r="E29" s="23">
        <f t="shared" si="3"/>
        <v>5769.5708798958713</v>
      </c>
      <c r="F29" s="23">
        <f t="shared" si="3"/>
        <v>5496.1817105186319</v>
      </c>
      <c r="G29" s="23">
        <f t="shared" si="3"/>
        <v>5231.3163610625297</v>
      </c>
      <c r="H29" s="23">
        <f t="shared" si="3"/>
        <v>4974.0930016436323</v>
      </c>
      <c r="I29" s="23">
        <f t="shared" si="3"/>
        <v>4723.6347863454967</v>
      </c>
      <c r="J29" s="23">
        <f t="shared" si="3"/>
        <v>4479.0698232003451</v>
      </c>
      <c r="K29" s="23">
        <f t="shared" si="3"/>
        <v>4239.5311443502751</v>
      </c>
      <c r="L29" s="23">
        <f t="shared" si="3"/>
        <v>4004.1566763874926</v>
      </c>
      <c r="M29" s="23">
        <f t="shared" si="3"/>
        <v>3772.0892108724292</v>
      </c>
      <c r="N29" s="23">
        <f t="shared" si="3"/>
        <v>3542.4763750287357</v>
      </c>
    </row>
    <row r="30" spans="2:14" ht="13.5" customHeight="1" x14ac:dyDescent="0.2">
      <c r="B30" s="1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</row>
    <row r="31" spans="2:14" ht="13.5" customHeight="1" x14ac:dyDescent="0.2">
      <c r="B31" s="75" t="s">
        <v>358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7"/>
    </row>
    <row r="32" spans="2:14" ht="13.5" customHeight="1" x14ac:dyDescent="0.2">
      <c r="B32" s="47" t="s">
        <v>359</v>
      </c>
      <c r="C32" s="48">
        <f t="shared" ref="C32:N32" si="4">ROUND(C14-C29,2)</f>
        <v>0</v>
      </c>
      <c r="D32" s="48">
        <f t="shared" si="4"/>
        <v>0</v>
      </c>
      <c r="E32" s="48">
        <f t="shared" si="4"/>
        <v>0</v>
      </c>
      <c r="F32" s="48">
        <f t="shared" si="4"/>
        <v>0</v>
      </c>
      <c r="G32" s="48">
        <f t="shared" si="4"/>
        <v>0</v>
      </c>
      <c r="H32" s="48">
        <f t="shared" si="4"/>
        <v>0</v>
      </c>
      <c r="I32" s="48">
        <f t="shared" si="4"/>
        <v>0</v>
      </c>
      <c r="J32" s="48">
        <f t="shared" si="4"/>
        <v>0</v>
      </c>
      <c r="K32" s="48">
        <f t="shared" si="4"/>
        <v>0</v>
      </c>
      <c r="L32" s="48">
        <f t="shared" si="4"/>
        <v>0</v>
      </c>
      <c r="M32" s="48">
        <f t="shared" si="4"/>
        <v>0</v>
      </c>
      <c r="N32" s="48">
        <f t="shared" si="4"/>
        <v>0</v>
      </c>
    </row>
    <row r="33" spans="2:14" ht="13.5" customHeight="1" x14ac:dyDescent="0.2">
      <c r="B33" s="1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2:14" ht="13.5" customHeight="1" x14ac:dyDescent="0.2"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2:14" ht="13.5" customHeight="1" x14ac:dyDescent="0.2"/>
    <row r="36" spans="2:14" ht="13.5" customHeight="1" x14ac:dyDescent="0.2"/>
    <row r="37" spans="2:14" ht="13.5" customHeight="1" x14ac:dyDescent="0.2"/>
    <row r="38" spans="2:14" ht="13.5" customHeight="1" x14ac:dyDescent="0.2"/>
    <row r="39" spans="2:14" ht="13.5" customHeight="1" x14ac:dyDescent="0.2"/>
    <row r="40" spans="2:14" ht="13.5" customHeight="1" x14ac:dyDescent="0.2"/>
    <row r="41" spans="2:14" ht="13.5" customHeight="1" x14ac:dyDescent="0.2"/>
    <row r="42" spans="2:14" ht="13.5" customHeight="1" x14ac:dyDescent="0.2"/>
    <row r="43" spans="2:14" ht="13.5" customHeight="1" x14ac:dyDescent="0.2"/>
    <row r="44" spans="2:14" ht="13.5" customHeight="1" x14ac:dyDescent="0.2"/>
    <row r="45" spans="2:14" ht="13.5" customHeight="1" x14ac:dyDescent="0.2"/>
    <row r="46" spans="2:14" ht="13.5" customHeight="1" x14ac:dyDescent="0.2"/>
    <row r="47" spans="2:14" ht="13.5" customHeight="1" x14ac:dyDescent="0.2"/>
    <row r="48" spans="2:14" ht="13.5" customHeight="1" x14ac:dyDescent="0.2"/>
    <row r="49" s="51" customFormat="1" ht="13.5" customHeight="1" x14ac:dyDescent="0.2"/>
    <row r="50" s="51" customFormat="1" ht="13.5" customHeight="1" x14ac:dyDescent="0.2"/>
    <row r="51" s="51" customFormat="1" ht="13.5" customHeight="1" x14ac:dyDescent="0.2"/>
    <row r="52" s="51" customFormat="1" ht="13.5" customHeight="1" x14ac:dyDescent="0.2"/>
    <row r="53" s="51" customFormat="1" ht="13.5" customHeight="1" x14ac:dyDescent="0.2"/>
    <row r="54" s="51" customFormat="1" ht="13.5" customHeight="1" x14ac:dyDescent="0.2"/>
    <row r="55" s="51" customFormat="1" ht="13.5" customHeight="1" x14ac:dyDescent="0.2"/>
    <row r="56" s="51" customFormat="1" ht="13.5" customHeight="1" x14ac:dyDescent="0.2"/>
    <row r="57" s="51" customFormat="1" ht="13.5" customHeight="1" x14ac:dyDescent="0.2"/>
    <row r="58" s="51" customFormat="1" ht="13.5" customHeight="1" x14ac:dyDescent="0.2"/>
    <row r="59" s="51" customFormat="1" ht="13.5" customHeight="1" x14ac:dyDescent="0.2"/>
    <row r="60" s="51" customFormat="1" ht="13.5" customHeight="1" x14ac:dyDescent="0.2"/>
    <row r="61" s="51" customFormat="1" ht="13.5" customHeight="1" x14ac:dyDescent="0.2"/>
    <row r="62" s="51" customFormat="1" ht="13.5" customHeight="1" x14ac:dyDescent="0.2"/>
    <row r="63" s="51" customFormat="1" ht="13.5" customHeight="1" x14ac:dyDescent="0.2"/>
    <row r="64" s="51" customFormat="1" ht="13.5" customHeight="1" x14ac:dyDescent="0.2"/>
    <row r="65" s="51" customFormat="1" ht="13.5" customHeight="1" x14ac:dyDescent="0.2"/>
    <row r="66" s="51" customFormat="1" ht="13.5" customHeight="1" x14ac:dyDescent="0.2"/>
    <row r="67" s="51" customFormat="1" ht="13.5" customHeight="1" x14ac:dyDescent="0.2"/>
    <row r="68" s="51" customFormat="1" ht="13.5" customHeight="1" x14ac:dyDescent="0.2"/>
    <row r="69" s="51" customFormat="1" ht="13.5" customHeight="1" x14ac:dyDescent="0.2"/>
    <row r="70" s="51" customFormat="1" ht="13.5" customHeight="1" x14ac:dyDescent="0.2"/>
    <row r="71" s="51" customFormat="1" ht="13.5" customHeight="1" x14ac:dyDescent="0.2"/>
    <row r="72" s="51" customFormat="1" ht="13.5" customHeight="1" x14ac:dyDescent="0.2"/>
    <row r="73" s="51" customFormat="1" ht="13.5" customHeight="1" x14ac:dyDescent="0.2"/>
    <row r="74" s="51" customFormat="1" ht="13.5" customHeight="1" x14ac:dyDescent="0.2"/>
    <row r="75" s="51" customFormat="1" ht="13.5" customHeight="1" x14ac:dyDescent="0.2"/>
    <row r="76" s="51" customFormat="1" ht="13.5" customHeight="1" x14ac:dyDescent="0.2"/>
    <row r="77" s="51" customFormat="1" ht="13.5" customHeight="1" x14ac:dyDescent="0.2"/>
    <row r="78" s="51" customFormat="1" ht="13.5" customHeight="1" x14ac:dyDescent="0.2"/>
    <row r="79" s="51" customFormat="1" ht="13.5" customHeight="1" x14ac:dyDescent="0.2"/>
    <row r="80" s="51" customFormat="1" ht="13.5" customHeight="1" x14ac:dyDescent="0.2"/>
    <row r="81" s="51" customFormat="1" ht="13.5" customHeight="1" x14ac:dyDescent="0.2"/>
    <row r="82" s="51" customFormat="1" ht="13.5" customHeight="1" x14ac:dyDescent="0.2"/>
    <row r="83" s="51" customFormat="1" ht="13.5" customHeight="1" x14ac:dyDescent="0.2"/>
    <row r="84" s="51" customFormat="1" ht="13.5" customHeight="1" x14ac:dyDescent="0.2"/>
    <row r="85" s="51" customFormat="1" ht="13.5" customHeight="1" x14ac:dyDescent="0.2"/>
    <row r="86" s="51" customFormat="1" ht="13.5" customHeight="1" x14ac:dyDescent="0.2"/>
    <row r="87" s="51" customFormat="1" ht="13.5" customHeight="1" x14ac:dyDescent="0.2"/>
    <row r="88" s="51" customFormat="1" ht="13.5" customHeight="1" x14ac:dyDescent="0.2"/>
    <row r="89" s="51" customFormat="1" ht="13.5" customHeight="1" x14ac:dyDescent="0.2"/>
    <row r="90" s="51" customFormat="1" ht="13.5" customHeight="1" x14ac:dyDescent="0.2"/>
    <row r="91" s="51" customFormat="1" ht="13.5" customHeight="1" x14ac:dyDescent="0.2"/>
    <row r="92" s="51" customFormat="1" ht="13.5" customHeight="1" x14ac:dyDescent="0.2"/>
    <row r="93" s="51" customFormat="1" ht="13.5" customHeight="1" x14ac:dyDescent="0.2"/>
    <row r="94" s="51" customFormat="1" ht="13.5" customHeight="1" x14ac:dyDescent="0.2"/>
    <row r="95" s="51" customFormat="1" ht="13.5" customHeight="1" x14ac:dyDescent="0.2"/>
    <row r="96" s="51" customFormat="1" ht="13.5" customHeight="1" x14ac:dyDescent="0.2"/>
    <row r="97" s="51" customFormat="1" ht="13.5" customHeight="1" x14ac:dyDescent="0.2"/>
    <row r="98" s="51" customFormat="1" ht="13.5" customHeight="1" x14ac:dyDescent="0.2"/>
    <row r="99" s="51" customFormat="1" ht="13.5" customHeight="1" x14ac:dyDescent="0.2"/>
    <row r="100" s="51" customFormat="1" ht="13.5" customHeight="1" x14ac:dyDescent="0.2"/>
    <row r="101" s="51" customFormat="1" ht="13.5" customHeight="1" x14ac:dyDescent="0.2"/>
    <row r="102" s="51" customFormat="1" ht="13.5" customHeight="1" x14ac:dyDescent="0.2"/>
    <row r="103" s="51" customFormat="1" ht="13.5" customHeight="1" x14ac:dyDescent="0.2"/>
    <row r="104" s="51" customFormat="1" ht="13.5" customHeight="1" x14ac:dyDescent="0.2"/>
    <row r="105" s="51" customFormat="1" ht="13.5" customHeight="1" x14ac:dyDescent="0.2"/>
    <row r="106" s="51" customFormat="1" ht="13.5" customHeight="1" x14ac:dyDescent="0.2"/>
    <row r="107" s="51" customFormat="1" ht="13.5" customHeight="1" x14ac:dyDescent="0.2"/>
    <row r="108" s="51" customFormat="1" ht="13.5" customHeight="1" x14ac:dyDescent="0.2"/>
    <row r="109" s="51" customFormat="1" ht="13.5" customHeight="1" x14ac:dyDescent="0.2"/>
    <row r="110" s="51" customFormat="1" ht="13.5" customHeight="1" x14ac:dyDescent="0.2"/>
    <row r="111" s="51" customFormat="1" ht="13.5" customHeight="1" x14ac:dyDescent="0.2"/>
    <row r="112" s="51" customFormat="1" ht="13.5" customHeight="1" x14ac:dyDescent="0.2"/>
    <row r="113" s="51" customFormat="1" ht="13.5" customHeight="1" x14ac:dyDescent="0.2"/>
    <row r="114" s="51" customFormat="1" ht="13.5" customHeight="1" x14ac:dyDescent="0.2"/>
    <row r="115" s="51" customFormat="1" ht="13.5" customHeight="1" x14ac:dyDescent="0.2"/>
    <row r="116" s="51" customFormat="1" ht="13.5" customHeight="1" x14ac:dyDescent="0.2"/>
    <row r="117" s="51" customFormat="1" ht="13.5" customHeight="1" x14ac:dyDescent="0.2"/>
    <row r="118" s="51" customFormat="1" ht="13.5" customHeight="1" x14ac:dyDescent="0.2"/>
    <row r="119" s="51" customFormat="1" ht="13.5" customHeight="1" x14ac:dyDescent="0.2"/>
    <row r="120" s="51" customFormat="1" ht="13.5" customHeight="1" x14ac:dyDescent="0.2"/>
    <row r="121" s="51" customFormat="1" ht="13.5" customHeight="1" x14ac:dyDescent="0.2"/>
    <row r="122" s="51" customFormat="1" ht="13.5" customHeight="1" x14ac:dyDescent="0.2"/>
    <row r="123" s="51" customFormat="1" ht="13.5" customHeight="1" x14ac:dyDescent="0.2"/>
    <row r="124" s="51" customFormat="1" ht="13.5" customHeight="1" x14ac:dyDescent="0.2"/>
    <row r="125" s="51" customFormat="1" ht="13.5" customHeight="1" x14ac:dyDescent="0.2"/>
    <row r="126" s="51" customFormat="1" ht="13.5" customHeight="1" x14ac:dyDescent="0.2"/>
    <row r="127" s="51" customFormat="1" ht="13.5" customHeight="1" x14ac:dyDescent="0.2"/>
    <row r="128" s="51" customFormat="1" ht="13.5" customHeight="1" x14ac:dyDescent="0.2"/>
    <row r="129" s="51" customFormat="1" ht="13.5" customHeight="1" x14ac:dyDescent="0.2"/>
    <row r="130" s="51" customFormat="1" ht="13.5" customHeight="1" x14ac:dyDescent="0.2"/>
    <row r="131" s="51" customFormat="1" ht="13.5" customHeight="1" x14ac:dyDescent="0.2"/>
    <row r="132" s="51" customFormat="1" ht="13.5" customHeight="1" x14ac:dyDescent="0.2"/>
    <row r="133" s="51" customFormat="1" ht="13.5" customHeight="1" x14ac:dyDescent="0.2"/>
    <row r="134" s="51" customFormat="1" ht="13.5" customHeight="1" x14ac:dyDescent="0.2"/>
    <row r="135" s="51" customFormat="1" ht="13.5" customHeight="1" x14ac:dyDescent="0.2"/>
    <row r="136" s="51" customFormat="1" ht="13.5" customHeight="1" x14ac:dyDescent="0.2"/>
    <row r="137" s="51" customFormat="1" ht="13.5" customHeight="1" x14ac:dyDescent="0.2"/>
    <row r="138" s="51" customFormat="1" ht="13.5" customHeight="1" x14ac:dyDescent="0.2"/>
    <row r="139" s="51" customFormat="1" ht="13.5" customHeight="1" x14ac:dyDescent="0.2"/>
    <row r="140" s="51" customFormat="1" ht="13.5" customHeight="1" x14ac:dyDescent="0.2"/>
    <row r="141" s="51" customFormat="1" ht="13.5" customHeight="1" x14ac:dyDescent="0.2"/>
    <row r="142" s="51" customFormat="1" ht="13.5" customHeight="1" x14ac:dyDescent="0.2"/>
    <row r="143" s="51" customFormat="1" ht="13.5" customHeight="1" x14ac:dyDescent="0.2"/>
    <row r="144" s="51" customFormat="1" ht="13.5" customHeight="1" x14ac:dyDescent="0.2"/>
    <row r="145" s="51" customFormat="1" ht="13.5" customHeight="1" x14ac:dyDescent="0.2"/>
    <row r="146" s="51" customFormat="1" ht="13.5" customHeight="1" x14ac:dyDescent="0.2"/>
    <row r="147" s="51" customFormat="1" ht="13.5" customHeight="1" x14ac:dyDescent="0.2"/>
    <row r="148" s="51" customFormat="1" ht="13.5" customHeight="1" x14ac:dyDescent="0.2"/>
    <row r="149" s="51" customFormat="1" ht="13.5" customHeight="1" x14ac:dyDescent="0.2"/>
    <row r="150" s="51" customFormat="1" ht="13.5" customHeight="1" x14ac:dyDescent="0.2"/>
    <row r="151" s="51" customFormat="1" ht="13.5" customHeight="1" x14ac:dyDescent="0.2"/>
    <row r="152" s="51" customFormat="1" ht="13.5" customHeight="1" x14ac:dyDescent="0.2"/>
    <row r="153" s="51" customFormat="1" ht="13.5" customHeight="1" x14ac:dyDescent="0.2"/>
    <row r="154" s="51" customFormat="1" ht="13.5" customHeight="1" x14ac:dyDescent="0.2"/>
    <row r="155" s="51" customFormat="1" ht="13.5" customHeight="1" x14ac:dyDescent="0.2"/>
    <row r="156" s="51" customFormat="1" ht="13.5" customHeight="1" x14ac:dyDescent="0.2"/>
    <row r="157" s="51" customFormat="1" ht="13.5" customHeight="1" x14ac:dyDescent="0.2"/>
    <row r="158" s="51" customFormat="1" ht="13.5" customHeight="1" x14ac:dyDescent="0.2"/>
    <row r="159" s="51" customFormat="1" ht="13.5" customHeight="1" x14ac:dyDescent="0.2"/>
    <row r="160" s="51" customFormat="1" ht="13.5" customHeight="1" x14ac:dyDescent="0.2"/>
    <row r="161" s="51" customFormat="1" ht="13.5" customHeight="1" x14ac:dyDescent="0.2"/>
    <row r="162" s="51" customFormat="1" ht="13.5" customHeight="1" x14ac:dyDescent="0.2"/>
    <row r="163" s="51" customFormat="1" ht="13.5" customHeight="1" x14ac:dyDescent="0.2"/>
    <row r="164" s="51" customFormat="1" ht="13.5" customHeight="1" x14ac:dyDescent="0.2"/>
    <row r="165" s="51" customFormat="1" ht="13.5" customHeight="1" x14ac:dyDescent="0.2"/>
    <row r="166" s="51" customFormat="1" ht="13.5" customHeight="1" x14ac:dyDescent="0.2"/>
    <row r="167" s="51" customFormat="1" ht="13.5" customHeight="1" x14ac:dyDescent="0.2"/>
    <row r="168" s="51" customFormat="1" ht="13.5" customHeight="1" x14ac:dyDescent="0.2"/>
    <row r="169" s="51" customFormat="1" ht="13.5" customHeight="1" x14ac:dyDescent="0.2"/>
    <row r="170" s="51" customFormat="1" ht="13.5" customHeight="1" x14ac:dyDescent="0.2"/>
    <row r="171" s="51" customFormat="1" ht="13.5" customHeight="1" x14ac:dyDescent="0.2"/>
    <row r="172" s="51" customFormat="1" ht="13.5" customHeight="1" x14ac:dyDescent="0.2"/>
    <row r="173" s="51" customFormat="1" ht="13.5" customHeight="1" x14ac:dyDescent="0.2"/>
    <row r="174" s="51" customFormat="1" ht="13.5" customHeight="1" x14ac:dyDescent="0.2"/>
    <row r="175" s="51" customFormat="1" ht="13.5" customHeight="1" x14ac:dyDescent="0.2"/>
    <row r="176" s="51" customFormat="1" ht="13.5" customHeight="1" x14ac:dyDescent="0.2"/>
    <row r="177" s="51" customFormat="1" ht="13.5" customHeight="1" x14ac:dyDescent="0.2"/>
    <row r="178" s="51" customFormat="1" ht="13.5" customHeight="1" x14ac:dyDescent="0.2"/>
    <row r="179" s="51" customFormat="1" ht="13.5" customHeight="1" x14ac:dyDescent="0.2"/>
    <row r="180" s="51" customFormat="1" ht="13.5" customHeight="1" x14ac:dyDescent="0.2"/>
    <row r="181" s="51" customFormat="1" ht="13.5" customHeight="1" x14ac:dyDescent="0.2"/>
    <row r="182" s="51" customFormat="1" ht="13.5" customHeight="1" x14ac:dyDescent="0.2"/>
    <row r="183" s="51" customFormat="1" ht="13.5" customHeight="1" x14ac:dyDescent="0.2"/>
    <row r="184" s="51" customFormat="1" ht="13.5" customHeight="1" x14ac:dyDescent="0.2"/>
    <row r="185" s="51" customFormat="1" ht="13.5" customHeight="1" x14ac:dyDescent="0.2"/>
    <row r="186" s="51" customFormat="1" ht="13.5" customHeight="1" x14ac:dyDescent="0.2"/>
    <row r="187" s="51" customFormat="1" ht="13.5" customHeight="1" x14ac:dyDescent="0.2"/>
    <row r="188" s="51" customFormat="1" ht="13.5" customHeight="1" x14ac:dyDescent="0.2"/>
    <row r="189" s="51" customFormat="1" ht="13.5" customHeight="1" x14ac:dyDescent="0.2"/>
    <row r="190" s="51" customFormat="1" ht="13.5" customHeight="1" x14ac:dyDescent="0.2"/>
    <row r="191" s="51" customFormat="1" ht="13.5" customHeight="1" x14ac:dyDescent="0.2"/>
    <row r="192" s="51" customFormat="1" ht="13.5" customHeight="1" x14ac:dyDescent="0.2"/>
    <row r="193" s="51" customFormat="1" ht="13.5" customHeight="1" x14ac:dyDescent="0.2"/>
    <row r="194" s="51" customFormat="1" ht="13.5" customHeight="1" x14ac:dyDescent="0.2"/>
    <row r="195" s="51" customFormat="1" ht="13.5" customHeight="1" x14ac:dyDescent="0.2"/>
    <row r="196" s="51" customFormat="1" ht="13.5" customHeight="1" x14ac:dyDescent="0.2"/>
    <row r="197" s="51" customFormat="1" ht="13.5" customHeight="1" x14ac:dyDescent="0.2"/>
    <row r="198" s="51" customFormat="1" ht="13.5" customHeight="1" x14ac:dyDescent="0.2"/>
    <row r="199" s="51" customFormat="1" ht="13.5" customHeight="1" x14ac:dyDescent="0.2"/>
    <row r="200" s="51" customFormat="1" ht="13.5" customHeight="1" x14ac:dyDescent="0.2"/>
    <row r="201" s="51" customFormat="1" ht="13.5" customHeight="1" x14ac:dyDescent="0.2"/>
    <row r="202" s="51" customFormat="1" ht="13.5" customHeight="1" x14ac:dyDescent="0.2"/>
    <row r="203" s="51" customFormat="1" ht="13.5" customHeight="1" x14ac:dyDescent="0.2"/>
    <row r="204" s="51" customFormat="1" ht="13.5" customHeight="1" x14ac:dyDescent="0.2"/>
    <row r="205" s="51" customFormat="1" ht="13.5" customHeight="1" x14ac:dyDescent="0.2"/>
    <row r="206" s="51" customFormat="1" ht="13.5" customHeight="1" x14ac:dyDescent="0.2"/>
    <row r="207" s="51" customFormat="1" ht="13.5" customHeight="1" x14ac:dyDescent="0.2"/>
    <row r="208" s="51" customFormat="1" ht="13.5" customHeight="1" x14ac:dyDescent="0.2"/>
    <row r="209" s="51" customFormat="1" ht="13.5" customHeight="1" x14ac:dyDescent="0.2"/>
    <row r="210" s="51" customFormat="1" ht="13.5" customHeight="1" x14ac:dyDescent="0.2"/>
    <row r="211" s="51" customFormat="1" ht="13.5" customHeight="1" x14ac:dyDescent="0.2"/>
    <row r="212" s="51" customFormat="1" ht="13.5" customHeight="1" x14ac:dyDescent="0.2"/>
    <row r="213" s="51" customFormat="1" ht="13.5" customHeight="1" x14ac:dyDescent="0.2"/>
    <row r="214" s="51" customFormat="1" ht="13.5" customHeight="1" x14ac:dyDescent="0.2"/>
    <row r="215" s="51" customFormat="1" ht="13.5" customHeight="1" x14ac:dyDescent="0.2"/>
    <row r="216" s="51" customFormat="1" ht="13.5" customHeight="1" x14ac:dyDescent="0.2"/>
    <row r="217" s="51" customFormat="1" ht="13.5" customHeight="1" x14ac:dyDescent="0.2"/>
    <row r="218" s="51" customFormat="1" ht="13.5" customHeight="1" x14ac:dyDescent="0.2"/>
    <row r="219" s="51" customFormat="1" ht="13.5" customHeight="1" x14ac:dyDescent="0.2"/>
    <row r="220" s="51" customFormat="1" ht="13.5" customHeight="1" x14ac:dyDescent="0.2"/>
    <row r="221" s="51" customFormat="1" ht="13.5" customHeight="1" x14ac:dyDescent="0.2"/>
    <row r="222" s="51" customFormat="1" ht="13.5" customHeight="1" x14ac:dyDescent="0.2"/>
    <row r="223" s="51" customFormat="1" ht="13.5" customHeight="1" x14ac:dyDescent="0.2"/>
    <row r="224" s="51" customFormat="1" ht="13.5" customHeight="1" x14ac:dyDescent="0.2"/>
    <row r="225" s="51" customFormat="1" ht="13.5" customHeight="1" x14ac:dyDescent="0.2"/>
    <row r="226" s="51" customFormat="1" ht="13.5" customHeight="1" x14ac:dyDescent="0.2"/>
    <row r="227" s="51" customFormat="1" ht="13.5" customHeight="1" x14ac:dyDescent="0.2"/>
    <row r="228" s="51" customFormat="1" ht="13.5" customHeight="1" x14ac:dyDescent="0.2"/>
    <row r="229" s="51" customFormat="1" ht="13.5" customHeight="1" x14ac:dyDescent="0.2"/>
    <row r="230" s="51" customFormat="1" ht="13.5" customHeight="1" x14ac:dyDescent="0.2"/>
    <row r="231" s="51" customFormat="1" ht="13.5" customHeight="1" x14ac:dyDescent="0.2"/>
    <row r="232" s="51" customFormat="1" ht="13.5" customHeight="1" x14ac:dyDescent="0.2"/>
    <row r="233" s="51" customFormat="1" ht="13.5" customHeight="1" x14ac:dyDescent="0.2"/>
    <row r="234" s="51" customFormat="1" ht="13.5" customHeight="1" x14ac:dyDescent="0.2"/>
    <row r="235" s="51" customFormat="1" ht="13.5" customHeight="1" x14ac:dyDescent="0.2"/>
    <row r="236" s="51" customFormat="1" ht="13.5" customHeight="1" x14ac:dyDescent="0.2"/>
    <row r="237" s="51" customFormat="1" ht="13.5" customHeight="1" x14ac:dyDescent="0.2"/>
    <row r="238" s="51" customFormat="1" ht="13.5" customHeight="1" x14ac:dyDescent="0.2"/>
    <row r="239" s="51" customFormat="1" ht="13.5" customHeight="1" x14ac:dyDescent="0.2"/>
    <row r="240" s="51" customFormat="1" ht="13.5" customHeight="1" x14ac:dyDescent="0.2"/>
    <row r="241" s="51" customFormat="1" ht="13.5" customHeight="1" x14ac:dyDescent="0.2"/>
    <row r="242" s="51" customFormat="1" ht="13.5" customHeight="1" x14ac:dyDescent="0.2"/>
    <row r="243" s="51" customFormat="1" ht="13.5" customHeight="1" x14ac:dyDescent="0.2"/>
    <row r="244" s="51" customFormat="1" ht="13.5" customHeight="1" x14ac:dyDescent="0.2"/>
    <row r="245" s="51" customFormat="1" ht="13.5" customHeight="1" x14ac:dyDescent="0.2"/>
    <row r="246" s="51" customFormat="1" ht="13.5" customHeight="1" x14ac:dyDescent="0.2"/>
    <row r="247" s="51" customFormat="1" ht="13.5" customHeight="1" x14ac:dyDescent="0.2"/>
    <row r="248" s="51" customFormat="1" ht="13.5" customHeight="1" x14ac:dyDescent="0.2"/>
    <row r="249" s="51" customFormat="1" ht="13.5" customHeight="1" x14ac:dyDescent="0.2"/>
    <row r="250" s="51" customFormat="1" ht="13.5" customHeight="1" x14ac:dyDescent="0.2"/>
    <row r="251" s="51" customFormat="1" ht="13.5" customHeight="1" x14ac:dyDescent="0.2"/>
    <row r="252" s="51" customFormat="1" ht="13.5" customHeight="1" x14ac:dyDescent="0.2"/>
    <row r="253" s="51" customFormat="1" ht="13.5" customHeight="1" x14ac:dyDescent="0.2"/>
    <row r="254" s="51" customFormat="1" ht="13.5" customHeight="1" x14ac:dyDescent="0.2"/>
    <row r="255" s="51" customFormat="1" ht="13.5" customHeight="1" x14ac:dyDescent="0.2"/>
    <row r="256" s="51" customFormat="1" ht="13.5" customHeight="1" x14ac:dyDescent="0.2"/>
    <row r="257" s="51" customFormat="1" ht="13.5" customHeight="1" x14ac:dyDescent="0.2"/>
    <row r="258" s="51" customFormat="1" ht="13.5" customHeight="1" x14ac:dyDescent="0.2"/>
    <row r="259" s="51" customFormat="1" ht="13.5" customHeight="1" x14ac:dyDescent="0.2"/>
    <row r="260" s="51" customFormat="1" ht="13.5" customHeight="1" x14ac:dyDescent="0.2"/>
    <row r="261" s="51" customFormat="1" ht="13.5" customHeight="1" x14ac:dyDescent="0.2"/>
    <row r="262" s="51" customFormat="1" ht="13.5" customHeight="1" x14ac:dyDescent="0.2"/>
    <row r="263" s="51" customFormat="1" ht="13.5" customHeight="1" x14ac:dyDescent="0.2"/>
    <row r="264" s="51" customFormat="1" ht="13.5" customHeight="1" x14ac:dyDescent="0.2"/>
    <row r="265" s="51" customFormat="1" ht="13.5" customHeight="1" x14ac:dyDescent="0.2"/>
    <row r="266" s="51" customFormat="1" ht="13.5" customHeight="1" x14ac:dyDescent="0.2"/>
    <row r="267" s="51" customFormat="1" ht="13.5" customHeight="1" x14ac:dyDescent="0.2"/>
    <row r="268" s="51" customFormat="1" ht="13.5" customHeight="1" x14ac:dyDescent="0.2"/>
    <row r="269" s="51" customFormat="1" ht="13.5" customHeight="1" x14ac:dyDescent="0.2"/>
    <row r="270" s="51" customFormat="1" ht="13.5" customHeight="1" x14ac:dyDescent="0.2"/>
    <row r="271" s="51" customFormat="1" ht="13.5" customHeight="1" x14ac:dyDescent="0.2"/>
    <row r="272" s="51" customFormat="1" ht="13.5" customHeight="1" x14ac:dyDescent="0.2"/>
    <row r="273" s="51" customFormat="1" ht="13.5" customHeight="1" x14ac:dyDescent="0.2"/>
    <row r="274" s="51" customFormat="1" ht="13.5" customHeight="1" x14ac:dyDescent="0.2"/>
    <row r="275" s="51" customFormat="1" ht="13.5" customHeight="1" x14ac:dyDescent="0.2"/>
    <row r="276" s="51" customFormat="1" ht="13.5" customHeight="1" x14ac:dyDescent="0.2"/>
    <row r="277" s="51" customFormat="1" ht="13.5" customHeight="1" x14ac:dyDescent="0.2"/>
    <row r="278" s="51" customFormat="1" ht="13.5" customHeight="1" x14ac:dyDescent="0.2"/>
    <row r="279" s="51" customFormat="1" ht="13.5" customHeight="1" x14ac:dyDescent="0.2"/>
    <row r="280" s="51" customFormat="1" ht="13.5" customHeight="1" x14ac:dyDescent="0.2"/>
    <row r="281" s="51" customFormat="1" ht="13.5" customHeight="1" x14ac:dyDescent="0.2"/>
    <row r="282" s="51" customFormat="1" ht="13.5" customHeight="1" x14ac:dyDescent="0.2"/>
    <row r="283" s="51" customFormat="1" ht="13.5" customHeight="1" x14ac:dyDescent="0.2"/>
    <row r="284" s="51" customFormat="1" ht="13.5" customHeight="1" x14ac:dyDescent="0.2"/>
    <row r="285" s="51" customFormat="1" ht="13.5" customHeight="1" x14ac:dyDescent="0.2"/>
    <row r="286" s="51" customFormat="1" ht="13.5" customHeight="1" x14ac:dyDescent="0.2"/>
    <row r="287" s="51" customFormat="1" ht="13.5" customHeight="1" x14ac:dyDescent="0.2"/>
    <row r="288" s="51" customFormat="1" ht="13.5" customHeight="1" x14ac:dyDescent="0.2"/>
    <row r="289" s="51" customFormat="1" ht="13.5" customHeight="1" x14ac:dyDescent="0.2"/>
    <row r="290" s="51" customFormat="1" ht="13.5" customHeight="1" x14ac:dyDescent="0.2"/>
    <row r="291" s="51" customFormat="1" ht="13.5" customHeight="1" x14ac:dyDescent="0.2"/>
    <row r="292" s="51" customFormat="1" ht="13.5" customHeight="1" x14ac:dyDescent="0.2"/>
    <row r="293" s="51" customFormat="1" ht="13.5" customHeight="1" x14ac:dyDescent="0.2"/>
    <row r="294" s="51" customFormat="1" ht="13.5" customHeight="1" x14ac:dyDescent="0.2"/>
    <row r="295" s="51" customFormat="1" ht="13.5" customHeight="1" x14ac:dyDescent="0.2"/>
    <row r="296" s="51" customFormat="1" ht="13.5" customHeight="1" x14ac:dyDescent="0.2"/>
    <row r="297" s="51" customFormat="1" ht="13.5" customHeight="1" x14ac:dyDescent="0.2"/>
    <row r="298" s="51" customFormat="1" ht="13.5" customHeight="1" x14ac:dyDescent="0.2"/>
    <row r="299" s="51" customFormat="1" ht="13.5" customHeight="1" x14ac:dyDescent="0.2"/>
    <row r="300" s="51" customFormat="1" ht="13.5" customHeight="1" x14ac:dyDescent="0.2"/>
    <row r="301" s="51" customFormat="1" ht="13.5" customHeight="1" x14ac:dyDescent="0.2"/>
    <row r="302" s="51" customFormat="1" ht="13.5" customHeight="1" x14ac:dyDescent="0.2"/>
    <row r="303" s="51" customFormat="1" ht="13.5" customHeight="1" x14ac:dyDescent="0.2"/>
    <row r="304" s="51" customFormat="1" ht="13.5" customHeight="1" x14ac:dyDescent="0.2"/>
    <row r="305" s="51" customFormat="1" ht="13.5" customHeight="1" x14ac:dyDescent="0.2"/>
    <row r="306" s="51" customFormat="1" ht="13.5" customHeight="1" x14ac:dyDescent="0.2"/>
    <row r="307" s="51" customFormat="1" ht="13.5" customHeight="1" x14ac:dyDescent="0.2"/>
    <row r="308" s="51" customFormat="1" ht="13.5" customHeight="1" x14ac:dyDescent="0.2"/>
    <row r="309" s="51" customFormat="1" ht="13.5" customHeight="1" x14ac:dyDescent="0.2"/>
    <row r="310" s="51" customFormat="1" ht="13.5" customHeight="1" x14ac:dyDescent="0.2"/>
    <row r="311" s="51" customFormat="1" ht="13.5" customHeight="1" x14ac:dyDescent="0.2"/>
    <row r="312" s="51" customFormat="1" ht="13.5" customHeight="1" x14ac:dyDescent="0.2"/>
    <row r="313" s="51" customFormat="1" ht="13.5" customHeight="1" x14ac:dyDescent="0.2"/>
    <row r="314" s="51" customFormat="1" ht="13.5" customHeight="1" x14ac:dyDescent="0.2"/>
    <row r="315" s="51" customFormat="1" ht="13.5" customHeight="1" x14ac:dyDescent="0.2"/>
    <row r="316" s="51" customFormat="1" ht="13.5" customHeight="1" x14ac:dyDescent="0.2"/>
    <row r="317" s="51" customFormat="1" ht="13.5" customHeight="1" x14ac:dyDescent="0.2"/>
    <row r="318" s="51" customFormat="1" ht="13.5" customHeight="1" x14ac:dyDescent="0.2"/>
    <row r="319" s="51" customFormat="1" ht="13.5" customHeight="1" x14ac:dyDescent="0.2"/>
    <row r="320" s="51" customFormat="1" ht="13.5" customHeight="1" x14ac:dyDescent="0.2"/>
    <row r="321" s="51" customFormat="1" ht="13.5" customHeight="1" x14ac:dyDescent="0.2"/>
    <row r="322" s="51" customFormat="1" ht="13.5" customHeight="1" x14ac:dyDescent="0.2"/>
    <row r="323" s="51" customFormat="1" ht="13.5" customHeight="1" x14ac:dyDescent="0.2"/>
    <row r="324" s="51" customFormat="1" ht="13.5" customHeight="1" x14ac:dyDescent="0.2"/>
    <row r="325" s="51" customFormat="1" ht="13.5" customHeight="1" x14ac:dyDescent="0.2"/>
    <row r="326" s="51" customFormat="1" ht="13.5" customHeight="1" x14ac:dyDescent="0.2"/>
    <row r="327" s="51" customFormat="1" ht="13.5" customHeight="1" x14ac:dyDescent="0.2"/>
    <row r="328" s="51" customFormat="1" ht="13.5" customHeight="1" x14ac:dyDescent="0.2"/>
    <row r="329" s="51" customFormat="1" ht="13.5" customHeight="1" x14ac:dyDescent="0.2"/>
    <row r="330" s="51" customFormat="1" ht="13.5" customHeight="1" x14ac:dyDescent="0.2"/>
    <row r="331" s="51" customFormat="1" ht="13.5" customHeight="1" x14ac:dyDescent="0.2"/>
    <row r="332" s="51" customFormat="1" ht="13.5" customHeight="1" x14ac:dyDescent="0.2"/>
    <row r="333" s="51" customFormat="1" ht="13.5" customHeight="1" x14ac:dyDescent="0.2"/>
    <row r="334" s="51" customFormat="1" ht="13.5" customHeight="1" x14ac:dyDescent="0.2"/>
    <row r="335" s="51" customFormat="1" ht="13.5" customHeight="1" x14ac:dyDescent="0.2"/>
    <row r="336" s="51" customFormat="1" ht="13.5" customHeight="1" x14ac:dyDescent="0.2"/>
    <row r="337" s="51" customFormat="1" ht="13.5" customHeight="1" x14ac:dyDescent="0.2"/>
    <row r="338" s="51" customFormat="1" ht="13.5" customHeight="1" x14ac:dyDescent="0.2"/>
    <row r="339" s="51" customFormat="1" ht="13.5" customHeight="1" x14ac:dyDescent="0.2"/>
    <row r="340" s="51" customFormat="1" ht="13.5" customHeight="1" x14ac:dyDescent="0.2"/>
    <row r="341" s="51" customFormat="1" ht="13.5" customHeight="1" x14ac:dyDescent="0.2"/>
    <row r="342" s="51" customFormat="1" ht="13.5" customHeight="1" x14ac:dyDescent="0.2"/>
    <row r="343" s="51" customFormat="1" ht="13.5" customHeight="1" x14ac:dyDescent="0.2"/>
    <row r="344" s="51" customFormat="1" ht="13.5" customHeight="1" x14ac:dyDescent="0.2"/>
    <row r="345" s="51" customFormat="1" ht="13.5" customHeight="1" x14ac:dyDescent="0.2"/>
    <row r="346" s="51" customFormat="1" ht="13.5" customHeight="1" x14ac:dyDescent="0.2"/>
    <row r="347" s="51" customFormat="1" ht="13.5" customHeight="1" x14ac:dyDescent="0.2"/>
    <row r="348" s="51" customFormat="1" ht="13.5" customHeight="1" x14ac:dyDescent="0.2"/>
    <row r="349" s="51" customFormat="1" ht="13.5" customHeight="1" x14ac:dyDescent="0.2"/>
    <row r="350" s="51" customFormat="1" ht="13.5" customHeight="1" x14ac:dyDescent="0.2"/>
    <row r="351" s="51" customFormat="1" ht="13.5" customHeight="1" x14ac:dyDescent="0.2"/>
    <row r="352" s="51" customFormat="1" ht="13.5" customHeight="1" x14ac:dyDescent="0.2"/>
    <row r="353" s="51" customFormat="1" ht="13.5" customHeight="1" x14ac:dyDescent="0.2"/>
    <row r="354" s="51" customFormat="1" ht="13.5" customHeight="1" x14ac:dyDescent="0.2"/>
    <row r="355" s="51" customFormat="1" ht="13.5" customHeight="1" x14ac:dyDescent="0.2"/>
    <row r="356" s="51" customFormat="1" ht="13.5" customHeight="1" x14ac:dyDescent="0.2"/>
    <row r="357" s="51" customFormat="1" ht="13.5" customHeight="1" x14ac:dyDescent="0.2"/>
    <row r="358" s="51" customFormat="1" ht="13.5" customHeight="1" x14ac:dyDescent="0.2"/>
    <row r="359" s="51" customFormat="1" ht="13.5" customHeight="1" x14ac:dyDescent="0.2"/>
    <row r="360" s="51" customFormat="1" ht="13.5" customHeight="1" x14ac:dyDescent="0.2"/>
    <row r="361" s="51" customFormat="1" ht="13.5" customHeight="1" x14ac:dyDescent="0.2"/>
    <row r="362" s="51" customFormat="1" ht="13.5" customHeight="1" x14ac:dyDescent="0.2"/>
    <row r="363" s="51" customFormat="1" ht="13.5" customHeight="1" x14ac:dyDescent="0.2"/>
    <row r="364" s="51" customFormat="1" ht="13.5" customHeight="1" x14ac:dyDescent="0.2"/>
    <row r="365" s="51" customFormat="1" ht="13.5" customHeight="1" x14ac:dyDescent="0.2"/>
    <row r="366" s="51" customFormat="1" ht="13.5" customHeight="1" x14ac:dyDescent="0.2"/>
    <row r="367" s="51" customFormat="1" ht="13.5" customHeight="1" x14ac:dyDescent="0.2"/>
    <row r="368" s="51" customFormat="1" ht="13.5" customHeight="1" x14ac:dyDescent="0.2"/>
    <row r="369" s="51" customFormat="1" ht="13.5" customHeight="1" x14ac:dyDescent="0.2"/>
    <row r="370" s="51" customFormat="1" ht="13.5" customHeight="1" x14ac:dyDescent="0.2"/>
    <row r="371" s="51" customFormat="1" ht="13.5" customHeight="1" x14ac:dyDescent="0.2"/>
    <row r="372" s="51" customFormat="1" ht="13.5" customHeight="1" x14ac:dyDescent="0.2"/>
    <row r="373" s="51" customFormat="1" ht="13.5" customHeight="1" x14ac:dyDescent="0.2"/>
    <row r="374" s="51" customFormat="1" ht="13.5" customHeight="1" x14ac:dyDescent="0.2"/>
    <row r="375" s="51" customFormat="1" ht="13.5" customHeight="1" x14ac:dyDescent="0.2"/>
    <row r="376" s="51" customFormat="1" ht="13.5" customHeight="1" x14ac:dyDescent="0.2"/>
    <row r="377" s="51" customFormat="1" ht="13.5" customHeight="1" x14ac:dyDescent="0.2"/>
    <row r="378" s="51" customFormat="1" ht="13.5" customHeight="1" x14ac:dyDescent="0.2"/>
    <row r="379" s="51" customFormat="1" ht="13.5" customHeight="1" x14ac:dyDescent="0.2"/>
    <row r="380" s="51" customFormat="1" ht="13.5" customHeight="1" x14ac:dyDescent="0.2"/>
    <row r="381" s="51" customFormat="1" ht="13.5" customHeight="1" x14ac:dyDescent="0.2"/>
    <row r="382" s="51" customFormat="1" ht="13.5" customHeight="1" x14ac:dyDescent="0.2"/>
    <row r="383" s="51" customFormat="1" ht="13.5" customHeight="1" x14ac:dyDescent="0.2"/>
    <row r="384" s="51" customFormat="1" ht="13.5" customHeight="1" x14ac:dyDescent="0.2"/>
    <row r="385" s="51" customFormat="1" ht="13.5" customHeight="1" x14ac:dyDescent="0.2"/>
    <row r="386" s="51" customFormat="1" ht="13.5" customHeight="1" x14ac:dyDescent="0.2"/>
    <row r="387" s="51" customFormat="1" ht="13.5" customHeight="1" x14ac:dyDescent="0.2"/>
    <row r="388" s="51" customFormat="1" ht="13.5" customHeight="1" x14ac:dyDescent="0.2"/>
    <row r="389" s="51" customFormat="1" ht="13.5" customHeight="1" x14ac:dyDescent="0.2"/>
    <row r="390" s="51" customFormat="1" ht="13.5" customHeight="1" x14ac:dyDescent="0.2"/>
    <row r="391" s="51" customFormat="1" ht="13.5" customHeight="1" x14ac:dyDescent="0.2"/>
    <row r="392" s="51" customFormat="1" ht="13.5" customHeight="1" x14ac:dyDescent="0.2"/>
    <row r="393" s="51" customFormat="1" ht="13.5" customHeight="1" x14ac:dyDescent="0.2"/>
    <row r="394" s="51" customFormat="1" ht="13.5" customHeight="1" x14ac:dyDescent="0.2"/>
    <row r="395" s="51" customFormat="1" ht="13.5" customHeight="1" x14ac:dyDescent="0.2"/>
    <row r="396" s="51" customFormat="1" ht="13.5" customHeight="1" x14ac:dyDescent="0.2"/>
    <row r="397" s="51" customFormat="1" ht="13.5" customHeight="1" x14ac:dyDescent="0.2"/>
    <row r="398" s="51" customFormat="1" ht="13.5" customHeight="1" x14ac:dyDescent="0.2"/>
    <row r="399" s="51" customFormat="1" ht="13.5" customHeight="1" x14ac:dyDescent="0.2"/>
    <row r="400" s="51" customFormat="1" ht="13.5" customHeight="1" x14ac:dyDescent="0.2"/>
    <row r="401" s="51" customFormat="1" ht="13.5" customHeight="1" x14ac:dyDescent="0.2"/>
    <row r="402" s="51" customFormat="1" ht="13.5" customHeight="1" x14ac:dyDescent="0.2"/>
    <row r="403" s="51" customFormat="1" ht="13.5" customHeight="1" x14ac:dyDescent="0.2"/>
    <row r="404" s="51" customFormat="1" ht="13.5" customHeight="1" x14ac:dyDescent="0.2"/>
    <row r="405" s="51" customFormat="1" ht="13.5" customHeight="1" x14ac:dyDescent="0.2"/>
    <row r="406" s="51" customFormat="1" ht="13.5" customHeight="1" x14ac:dyDescent="0.2"/>
    <row r="407" s="51" customFormat="1" ht="13.5" customHeight="1" x14ac:dyDescent="0.2"/>
    <row r="408" s="51" customFormat="1" ht="13.5" customHeight="1" x14ac:dyDescent="0.2"/>
    <row r="409" s="51" customFormat="1" ht="13.5" customHeight="1" x14ac:dyDescent="0.2"/>
    <row r="410" s="51" customFormat="1" ht="13.5" customHeight="1" x14ac:dyDescent="0.2"/>
    <row r="411" s="51" customFormat="1" ht="13.5" customHeight="1" x14ac:dyDescent="0.2"/>
    <row r="412" s="51" customFormat="1" ht="13.5" customHeight="1" x14ac:dyDescent="0.2"/>
    <row r="413" s="51" customFormat="1" ht="13.5" customHeight="1" x14ac:dyDescent="0.2"/>
    <row r="414" s="51" customFormat="1" ht="13.5" customHeight="1" x14ac:dyDescent="0.2"/>
    <row r="415" s="51" customFormat="1" ht="13.5" customHeight="1" x14ac:dyDescent="0.2"/>
    <row r="416" s="51" customFormat="1" ht="13.5" customHeight="1" x14ac:dyDescent="0.2"/>
    <row r="417" s="51" customFormat="1" ht="13.5" customHeight="1" x14ac:dyDescent="0.2"/>
    <row r="418" s="51" customFormat="1" ht="13.5" customHeight="1" x14ac:dyDescent="0.2"/>
    <row r="419" s="51" customFormat="1" ht="13.5" customHeight="1" x14ac:dyDescent="0.2"/>
    <row r="420" s="51" customFormat="1" ht="13.5" customHeight="1" x14ac:dyDescent="0.2"/>
    <row r="421" s="51" customFormat="1" ht="13.5" customHeight="1" x14ac:dyDescent="0.2"/>
    <row r="422" s="51" customFormat="1" ht="13.5" customHeight="1" x14ac:dyDescent="0.2"/>
    <row r="423" s="51" customFormat="1" ht="13.5" customHeight="1" x14ac:dyDescent="0.2"/>
    <row r="424" s="51" customFormat="1" ht="13.5" customHeight="1" x14ac:dyDescent="0.2"/>
    <row r="425" s="51" customFormat="1" ht="13.5" customHeight="1" x14ac:dyDescent="0.2"/>
    <row r="426" s="51" customFormat="1" ht="13.5" customHeight="1" x14ac:dyDescent="0.2"/>
    <row r="427" s="51" customFormat="1" ht="13.5" customHeight="1" x14ac:dyDescent="0.2"/>
    <row r="428" s="51" customFormat="1" ht="13.5" customHeight="1" x14ac:dyDescent="0.2"/>
    <row r="429" s="51" customFormat="1" ht="13.5" customHeight="1" x14ac:dyDescent="0.2"/>
    <row r="430" s="51" customFormat="1" ht="13.5" customHeight="1" x14ac:dyDescent="0.2"/>
    <row r="431" s="51" customFormat="1" ht="13.5" customHeight="1" x14ac:dyDescent="0.2"/>
    <row r="432" s="51" customFormat="1" ht="13.5" customHeight="1" x14ac:dyDescent="0.2"/>
    <row r="433" s="51" customFormat="1" ht="13.5" customHeight="1" x14ac:dyDescent="0.2"/>
    <row r="434" s="51" customFormat="1" ht="13.5" customHeight="1" x14ac:dyDescent="0.2"/>
    <row r="435" s="51" customFormat="1" ht="13.5" customHeight="1" x14ac:dyDescent="0.2"/>
    <row r="436" s="51" customFormat="1" ht="13.5" customHeight="1" x14ac:dyDescent="0.2"/>
    <row r="437" s="51" customFormat="1" ht="13.5" customHeight="1" x14ac:dyDescent="0.2"/>
    <row r="438" s="51" customFormat="1" ht="13.5" customHeight="1" x14ac:dyDescent="0.2"/>
    <row r="439" s="51" customFormat="1" ht="13.5" customHeight="1" x14ac:dyDescent="0.2"/>
    <row r="440" s="51" customFormat="1" ht="13.5" customHeight="1" x14ac:dyDescent="0.2"/>
    <row r="441" s="51" customFormat="1" ht="13.5" customHeight="1" x14ac:dyDescent="0.2"/>
    <row r="442" s="51" customFormat="1" ht="13.5" customHeight="1" x14ac:dyDescent="0.2"/>
    <row r="443" s="51" customFormat="1" ht="13.5" customHeight="1" x14ac:dyDescent="0.2"/>
    <row r="444" s="51" customFormat="1" ht="13.5" customHeight="1" x14ac:dyDescent="0.2"/>
    <row r="445" s="51" customFormat="1" ht="13.5" customHeight="1" x14ac:dyDescent="0.2"/>
    <row r="446" s="51" customFormat="1" ht="13.5" customHeight="1" x14ac:dyDescent="0.2"/>
    <row r="447" s="51" customFormat="1" ht="13.5" customHeight="1" x14ac:dyDescent="0.2"/>
    <row r="448" s="51" customFormat="1" ht="13.5" customHeight="1" x14ac:dyDescent="0.2"/>
    <row r="449" s="51" customFormat="1" ht="13.5" customHeight="1" x14ac:dyDescent="0.2"/>
    <row r="450" s="51" customFormat="1" ht="13.5" customHeight="1" x14ac:dyDescent="0.2"/>
    <row r="451" s="51" customFormat="1" ht="13.5" customHeight="1" x14ac:dyDescent="0.2"/>
    <row r="452" s="51" customFormat="1" ht="13.5" customHeight="1" x14ac:dyDescent="0.2"/>
    <row r="453" s="51" customFormat="1" ht="13.5" customHeight="1" x14ac:dyDescent="0.2"/>
    <row r="454" s="51" customFormat="1" ht="13.5" customHeight="1" x14ac:dyDescent="0.2"/>
    <row r="455" s="51" customFormat="1" ht="13.5" customHeight="1" x14ac:dyDescent="0.2"/>
    <row r="456" s="51" customFormat="1" ht="13.5" customHeight="1" x14ac:dyDescent="0.2"/>
    <row r="457" s="51" customFormat="1" ht="13.5" customHeight="1" x14ac:dyDescent="0.2"/>
    <row r="458" s="51" customFormat="1" ht="13.5" customHeight="1" x14ac:dyDescent="0.2"/>
    <row r="459" s="51" customFormat="1" ht="13.5" customHeight="1" x14ac:dyDescent="0.2"/>
    <row r="460" s="51" customFormat="1" ht="13.5" customHeight="1" x14ac:dyDescent="0.2"/>
    <row r="461" s="51" customFormat="1" ht="13.5" customHeight="1" x14ac:dyDescent="0.2"/>
    <row r="462" s="51" customFormat="1" ht="13.5" customHeight="1" x14ac:dyDescent="0.2"/>
    <row r="463" s="51" customFormat="1" ht="13.5" customHeight="1" x14ac:dyDescent="0.2"/>
    <row r="464" s="51" customFormat="1" ht="13.5" customHeight="1" x14ac:dyDescent="0.2"/>
    <row r="465" s="51" customFormat="1" ht="13.5" customHeight="1" x14ac:dyDescent="0.2"/>
    <row r="466" s="51" customFormat="1" ht="13.5" customHeight="1" x14ac:dyDescent="0.2"/>
    <row r="467" s="51" customFormat="1" ht="13.5" customHeight="1" x14ac:dyDescent="0.2"/>
    <row r="468" s="51" customFormat="1" ht="13.5" customHeight="1" x14ac:dyDescent="0.2"/>
    <row r="469" s="51" customFormat="1" ht="13.5" customHeight="1" x14ac:dyDescent="0.2"/>
    <row r="470" s="51" customFormat="1" ht="13.5" customHeight="1" x14ac:dyDescent="0.2"/>
    <row r="471" s="51" customFormat="1" ht="13.5" customHeight="1" x14ac:dyDescent="0.2"/>
    <row r="472" s="51" customFormat="1" ht="13.5" customHeight="1" x14ac:dyDescent="0.2"/>
    <row r="473" s="51" customFormat="1" ht="13.5" customHeight="1" x14ac:dyDescent="0.2"/>
    <row r="474" s="51" customFormat="1" ht="13.5" customHeight="1" x14ac:dyDescent="0.2"/>
    <row r="475" s="51" customFormat="1" ht="13.5" customHeight="1" x14ac:dyDescent="0.2"/>
    <row r="476" s="51" customFormat="1" ht="13.5" customHeight="1" x14ac:dyDescent="0.2"/>
    <row r="477" s="51" customFormat="1" ht="13.5" customHeight="1" x14ac:dyDescent="0.2"/>
    <row r="478" s="51" customFormat="1" ht="13.5" customHeight="1" x14ac:dyDescent="0.2"/>
    <row r="479" s="51" customFormat="1" ht="13.5" customHeight="1" x14ac:dyDescent="0.2"/>
    <row r="480" s="51" customFormat="1" ht="13.5" customHeight="1" x14ac:dyDescent="0.2"/>
    <row r="481" s="51" customFormat="1" ht="13.5" customHeight="1" x14ac:dyDescent="0.2"/>
    <row r="482" s="51" customFormat="1" ht="13.5" customHeight="1" x14ac:dyDescent="0.2"/>
    <row r="483" s="51" customFormat="1" ht="13.5" customHeight="1" x14ac:dyDescent="0.2"/>
    <row r="484" s="51" customFormat="1" ht="13.5" customHeight="1" x14ac:dyDescent="0.2"/>
    <row r="485" s="51" customFormat="1" ht="13.5" customHeight="1" x14ac:dyDescent="0.2"/>
    <row r="486" s="51" customFormat="1" ht="13.5" customHeight="1" x14ac:dyDescent="0.2"/>
    <row r="487" s="51" customFormat="1" ht="13.5" customHeight="1" x14ac:dyDescent="0.2"/>
    <row r="488" s="51" customFormat="1" ht="13.5" customHeight="1" x14ac:dyDescent="0.2"/>
    <row r="489" s="51" customFormat="1" ht="13.5" customHeight="1" x14ac:dyDescent="0.2"/>
    <row r="490" s="51" customFormat="1" ht="13.5" customHeight="1" x14ac:dyDescent="0.2"/>
    <row r="491" s="51" customFormat="1" ht="13.5" customHeight="1" x14ac:dyDescent="0.2"/>
    <row r="492" s="51" customFormat="1" ht="13.5" customHeight="1" x14ac:dyDescent="0.2"/>
    <row r="493" s="51" customFormat="1" ht="13.5" customHeight="1" x14ac:dyDescent="0.2"/>
    <row r="494" s="51" customFormat="1" ht="13.5" customHeight="1" x14ac:dyDescent="0.2"/>
    <row r="495" s="51" customFormat="1" ht="13.5" customHeight="1" x14ac:dyDescent="0.2"/>
    <row r="496" s="51" customFormat="1" ht="13.5" customHeight="1" x14ac:dyDescent="0.2"/>
    <row r="497" s="51" customFormat="1" ht="13.5" customHeight="1" x14ac:dyDescent="0.2"/>
    <row r="498" s="51" customFormat="1" ht="13.5" customHeight="1" x14ac:dyDescent="0.2"/>
    <row r="499" s="51" customFormat="1" ht="13.5" customHeight="1" x14ac:dyDescent="0.2"/>
    <row r="500" s="51" customFormat="1" ht="13.5" customHeight="1" x14ac:dyDescent="0.2"/>
    <row r="501" s="51" customFormat="1" ht="13.5" customHeight="1" x14ac:dyDescent="0.2"/>
    <row r="502" s="51" customFormat="1" ht="13.5" customHeight="1" x14ac:dyDescent="0.2"/>
    <row r="503" s="51" customFormat="1" ht="13.5" customHeight="1" x14ac:dyDescent="0.2"/>
    <row r="504" s="51" customFormat="1" ht="13.5" customHeight="1" x14ac:dyDescent="0.2"/>
    <row r="505" s="51" customFormat="1" ht="13.5" customHeight="1" x14ac:dyDescent="0.2"/>
    <row r="506" s="51" customFormat="1" ht="13.5" customHeight="1" x14ac:dyDescent="0.2"/>
    <row r="507" s="51" customFormat="1" ht="13.5" customHeight="1" x14ac:dyDescent="0.2"/>
    <row r="508" s="51" customFormat="1" ht="13.5" customHeight="1" x14ac:dyDescent="0.2"/>
    <row r="509" s="51" customFormat="1" ht="13.5" customHeight="1" x14ac:dyDescent="0.2"/>
    <row r="510" s="51" customFormat="1" ht="13.5" customHeight="1" x14ac:dyDescent="0.2"/>
    <row r="511" s="51" customFormat="1" ht="13.5" customHeight="1" x14ac:dyDescent="0.2"/>
    <row r="512" s="51" customFormat="1" ht="13.5" customHeight="1" x14ac:dyDescent="0.2"/>
    <row r="513" s="51" customFormat="1" ht="13.5" customHeight="1" x14ac:dyDescent="0.2"/>
    <row r="514" s="51" customFormat="1" ht="13.5" customHeight="1" x14ac:dyDescent="0.2"/>
    <row r="515" s="51" customFormat="1" ht="13.5" customHeight="1" x14ac:dyDescent="0.2"/>
    <row r="516" s="51" customFormat="1" ht="13.5" customHeight="1" x14ac:dyDescent="0.2"/>
    <row r="517" s="51" customFormat="1" ht="13.5" customHeight="1" x14ac:dyDescent="0.2"/>
    <row r="518" s="51" customFormat="1" ht="13.5" customHeight="1" x14ac:dyDescent="0.2"/>
    <row r="519" s="51" customFormat="1" ht="13.5" customHeight="1" x14ac:dyDescent="0.2"/>
    <row r="520" s="51" customFormat="1" ht="13.5" customHeight="1" x14ac:dyDescent="0.2"/>
    <row r="521" s="51" customFormat="1" ht="13.5" customHeight="1" x14ac:dyDescent="0.2"/>
    <row r="522" s="51" customFormat="1" ht="13.5" customHeight="1" x14ac:dyDescent="0.2"/>
    <row r="523" s="51" customFormat="1" ht="13.5" customHeight="1" x14ac:dyDescent="0.2"/>
    <row r="524" s="51" customFormat="1" ht="13.5" customHeight="1" x14ac:dyDescent="0.2"/>
    <row r="525" s="51" customFormat="1" ht="13.5" customHeight="1" x14ac:dyDescent="0.2"/>
    <row r="526" s="51" customFormat="1" ht="13.5" customHeight="1" x14ac:dyDescent="0.2"/>
    <row r="527" s="51" customFormat="1" ht="13.5" customHeight="1" x14ac:dyDescent="0.2"/>
    <row r="528" s="51" customFormat="1" ht="13.5" customHeight="1" x14ac:dyDescent="0.2"/>
    <row r="529" s="51" customFormat="1" ht="13.5" customHeight="1" x14ac:dyDescent="0.2"/>
    <row r="530" s="51" customFormat="1" ht="13.5" customHeight="1" x14ac:dyDescent="0.2"/>
    <row r="531" s="51" customFormat="1" ht="13.5" customHeight="1" x14ac:dyDescent="0.2"/>
    <row r="532" s="51" customFormat="1" ht="13.5" customHeight="1" x14ac:dyDescent="0.2"/>
    <row r="533" s="51" customFormat="1" ht="13.5" customHeight="1" x14ac:dyDescent="0.2"/>
    <row r="534" s="51" customFormat="1" ht="13.5" customHeight="1" x14ac:dyDescent="0.2"/>
    <row r="535" s="51" customFormat="1" ht="13.5" customHeight="1" x14ac:dyDescent="0.2"/>
    <row r="536" s="51" customFormat="1" ht="13.5" customHeight="1" x14ac:dyDescent="0.2"/>
    <row r="537" s="51" customFormat="1" ht="13.5" customHeight="1" x14ac:dyDescent="0.2"/>
    <row r="538" s="51" customFormat="1" ht="13.5" customHeight="1" x14ac:dyDescent="0.2"/>
    <row r="539" s="51" customFormat="1" ht="13.5" customHeight="1" x14ac:dyDescent="0.2"/>
    <row r="540" s="51" customFormat="1" ht="13.5" customHeight="1" x14ac:dyDescent="0.2"/>
    <row r="541" s="51" customFormat="1" ht="13.5" customHeight="1" x14ac:dyDescent="0.2"/>
    <row r="542" s="51" customFormat="1" ht="13.5" customHeight="1" x14ac:dyDescent="0.2"/>
    <row r="543" s="51" customFormat="1" ht="13.5" customHeight="1" x14ac:dyDescent="0.2"/>
    <row r="544" s="51" customFormat="1" ht="13.5" customHeight="1" x14ac:dyDescent="0.2"/>
    <row r="545" s="51" customFormat="1" ht="13.5" customHeight="1" x14ac:dyDescent="0.2"/>
    <row r="546" s="51" customFormat="1" ht="13.5" customHeight="1" x14ac:dyDescent="0.2"/>
    <row r="547" s="51" customFormat="1" ht="13.5" customHeight="1" x14ac:dyDescent="0.2"/>
    <row r="548" s="51" customFormat="1" ht="13.5" customHeight="1" x14ac:dyDescent="0.2"/>
    <row r="549" s="51" customFormat="1" ht="13.5" customHeight="1" x14ac:dyDescent="0.2"/>
    <row r="550" s="51" customFormat="1" ht="13.5" customHeight="1" x14ac:dyDescent="0.2"/>
    <row r="551" s="51" customFormat="1" ht="13.5" customHeight="1" x14ac:dyDescent="0.2"/>
    <row r="552" s="51" customFormat="1" ht="13.5" customHeight="1" x14ac:dyDescent="0.2"/>
    <row r="553" s="51" customFormat="1" ht="13.5" customHeight="1" x14ac:dyDescent="0.2"/>
    <row r="554" s="51" customFormat="1" ht="13.5" customHeight="1" x14ac:dyDescent="0.2"/>
    <row r="555" s="51" customFormat="1" ht="13.5" customHeight="1" x14ac:dyDescent="0.2"/>
    <row r="556" s="51" customFormat="1" ht="13.5" customHeight="1" x14ac:dyDescent="0.2"/>
    <row r="557" s="51" customFormat="1" ht="13.5" customHeight="1" x14ac:dyDescent="0.2"/>
    <row r="558" s="51" customFormat="1" ht="13.5" customHeight="1" x14ac:dyDescent="0.2"/>
    <row r="559" s="51" customFormat="1" ht="13.5" customHeight="1" x14ac:dyDescent="0.2"/>
    <row r="560" s="51" customFormat="1" ht="13.5" customHeight="1" x14ac:dyDescent="0.2"/>
    <row r="561" s="51" customFormat="1" ht="13.5" customHeight="1" x14ac:dyDescent="0.2"/>
    <row r="562" s="51" customFormat="1" ht="13.5" customHeight="1" x14ac:dyDescent="0.2"/>
    <row r="563" s="51" customFormat="1" ht="13.5" customHeight="1" x14ac:dyDescent="0.2"/>
    <row r="564" s="51" customFormat="1" ht="13.5" customHeight="1" x14ac:dyDescent="0.2"/>
    <row r="565" s="51" customFormat="1" ht="13.5" customHeight="1" x14ac:dyDescent="0.2"/>
    <row r="566" s="51" customFormat="1" ht="13.5" customHeight="1" x14ac:dyDescent="0.2"/>
    <row r="567" s="51" customFormat="1" ht="13.5" customHeight="1" x14ac:dyDescent="0.2"/>
    <row r="568" s="51" customFormat="1" ht="13.5" customHeight="1" x14ac:dyDescent="0.2"/>
    <row r="569" s="51" customFormat="1" ht="13.5" customHeight="1" x14ac:dyDescent="0.2"/>
    <row r="570" s="51" customFormat="1" ht="13.5" customHeight="1" x14ac:dyDescent="0.2"/>
    <row r="571" s="51" customFormat="1" ht="13.5" customHeight="1" x14ac:dyDescent="0.2"/>
    <row r="572" s="51" customFormat="1" ht="13.5" customHeight="1" x14ac:dyDescent="0.2"/>
    <row r="573" s="51" customFormat="1" ht="13.5" customHeight="1" x14ac:dyDescent="0.2"/>
    <row r="574" s="51" customFormat="1" ht="13.5" customHeight="1" x14ac:dyDescent="0.2"/>
    <row r="575" s="51" customFormat="1" ht="13.5" customHeight="1" x14ac:dyDescent="0.2"/>
    <row r="576" s="51" customFormat="1" ht="13.5" customHeight="1" x14ac:dyDescent="0.2"/>
    <row r="577" s="51" customFormat="1" ht="13.5" customHeight="1" x14ac:dyDescent="0.2"/>
    <row r="578" s="51" customFormat="1" ht="13.5" customHeight="1" x14ac:dyDescent="0.2"/>
    <row r="579" s="51" customFormat="1" ht="13.5" customHeight="1" x14ac:dyDescent="0.2"/>
    <row r="580" s="51" customFormat="1" ht="13.5" customHeight="1" x14ac:dyDescent="0.2"/>
    <row r="581" s="51" customFormat="1" ht="13.5" customHeight="1" x14ac:dyDescent="0.2"/>
    <row r="582" s="51" customFormat="1" ht="13.5" customHeight="1" x14ac:dyDescent="0.2"/>
    <row r="583" s="51" customFormat="1" ht="13.5" customHeight="1" x14ac:dyDescent="0.2"/>
    <row r="584" s="51" customFormat="1" ht="13.5" customHeight="1" x14ac:dyDescent="0.2"/>
    <row r="585" s="51" customFormat="1" ht="13.5" customHeight="1" x14ac:dyDescent="0.2"/>
    <row r="586" s="51" customFormat="1" ht="13.5" customHeight="1" x14ac:dyDescent="0.2"/>
    <row r="587" s="51" customFormat="1" ht="13.5" customHeight="1" x14ac:dyDescent="0.2"/>
    <row r="588" s="51" customFormat="1" ht="13.5" customHeight="1" x14ac:dyDescent="0.2"/>
    <row r="589" s="51" customFormat="1" ht="13.5" customHeight="1" x14ac:dyDescent="0.2"/>
    <row r="590" s="51" customFormat="1" ht="13.5" customHeight="1" x14ac:dyDescent="0.2"/>
    <row r="591" s="51" customFormat="1" ht="13.5" customHeight="1" x14ac:dyDescent="0.2"/>
    <row r="592" s="51" customFormat="1" ht="13.5" customHeight="1" x14ac:dyDescent="0.2"/>
    <row r="593" s="51" customFormat="1" ht="13.5" customHeight="1" x14ac:dyDescent="0.2"/>
    <row r="594" s="51" customFormat="1" ht="13.5" customHeight="1" x14ac:dyDescent="0.2"/>
    <row r="595" s="51" customFormat="1" ht="13.5" customHeight="1" x14ac:dyDescent="0.2"/>
    <row r="596" s="51" customFormat="1" ht="13.5" customHeight="1" x14ac:dyDescent="0.2"/>
    <row r="597" s="51" customFormat="1" ht="13.5" customHeight="1" x14ac:dyDescent="0.2"/>
    <row r="598" s="51" customFormat="1" ht="13.5" customHeight="1" x14ac:dyDescent="0.2"/>
    <row r="599" s="51" customFormat="1" ht="13.5" customHeight="1" x14ac:dyDescent="0.2"/>
    <row r="600" s="51" customFormat="1" ht="13.5" customHeight="1" x14ac:dyDescent="0.2"/>
    <row r="601" s="51" customFormat="1" ht="13.5" customHeight="1" x14ac:dyDescent="0.2"/>
    <row r="602" s="51" customFormat="1" ht="13.5" customHeight="1" x14ac:dyDescent="0.2"/>
    <row r="603" s="51" customFormat="1" ht="13.5" customHeight="1" x14ac:dyDescent="0.2"/>
    <row r="604" s="51" customFormat="1" ht="13.5" customHeight="1" x14ac:dyDescent="0.2"/>
    <row r="605" s="51" customFormat="1" ht="13.5" customHeight="1" x14ac:dyDescent="0.2"/>
    <row r="606" s="51" customFormat="1" ht="13.5" customHeight="1" x14ac:dyDescent="0.2"/>
    <row r="607" s="51" customFormat="1" ht="13.5" customHeight="1" x14ac:dyDescent="0.2"/>
    <row r="608" s="51" customFormat="1" ht="13.5" customHeight="1" x14ac:dyDescent="0.2"/>
    <row r="609" s="51" customFormat="1" ht="13.5" customHeight="1" x14ac:dyDescent="0.2"/>
    <row r="610" s="51" customFormat="1" ht="13.5" customHeight="1" x14ac:dyDescent="0.2"/>
    <row r="611" s="51" customFormat="1" ht="13.5" customHeight="1" x14ac:dyDescent="0.2"/>
    <row r="612" s="51" customFormat="1" ht="13.5" customHeight="1" x14ac:dyDescent="0.2"/>
    <row r="613" s="51" customFormat="1" ht="13.5" customHeight="1" x14ac:dyDescent="0.2"/>
    <row r="614" s="51" customFormat="1" ht="13.5" customHeight="1" x14ac:dyDescent="0.2"/>
    <row r="615" s="51" customFormat="1" ht="13.5" customHeight="1" x14ac:dyDescent="0.2"/>
    <row r="616" s="51" customFormat="1" ht="13.5" customHeight="1" x14ac:dyDescent="0.2"/>
    <row r="617" s="51" customFormat="1" ht="13.5" customHeight="1" x14ac:dyDescent="0.2"/>
    <row r="618" s="51" customFormat="1" ht="13.5" customHeight="1" x14ac:dyDescent="0.2"/>
    <row r="619" s="51" customFormat="1" ht="13.5" customHeight="1" x14ac:dyDescent="0.2"/>
    <row r="620" s="51" customFormat="1" ht="13.5" customHeight="1" x14ac:dyDescent="0.2"/>
    <row r="621" s="51" customFormat="1" ht="13.5" customHeight="1" x14ac:dyDescent="0.2"/>
    <row r="622" s="51" customFormat="1" ht="13.5" customHeight="1" x14ac:dyDescent="0.2"/>
    <row r="623" s="51" customFormat="1" ht="13.5" customHeight="1" x14ac:dyDescent="0.2"/>
    <row r="624" s="51" customFormat="1" ht="13.5" customHeight="1" x14ac:dyDescent="0.2"/>
    <row r="625" s="51" customFormat="1" ht="13.5" customHeight="1" x14ac:dyDescent="0.2"/>
    <row r="626" s="51" customFormat="1" ht="13.5" customHeight="1" x14ac:dyDescent="0.2"/>
    <row r="627" s="51" customFormat="1" ht="13.5" customHeight="1" x14ac:dyDescent="0.2"/>
    <row r="628" s="51" customFormat="1" ht="13.5" customHeight="1" x14ac:dyDescent="0.2"/>
    <row r="629" s="51" customFormat="1" ht="13.5" customHeight="1" x14ac:dyDescent="0.2"/>
    <row r="630" s="51" customFormat="1" ht="13.5" customHeight="1" x14ac:dyDescent="0.2"/>
    <row r="631" s="51" customFormat="1" ht="13.5" customHeight="1" x14ac:dyDescent="0.2"/>
    <row r="632" s="51" customFormat="1" ht="13.5" customHeight="1" x14ac:dyDescent="0.2"/>
    <row r="633" s="51" customFormat="1" ht="13.5" customHeight="1" x14ac:dyDescent="0.2"/>
    <row r="634" s="51" customFormat="1" ht="13.5" customHeight="1" x14ac:dyDescent="0.2"/>
    <row r="635" s="51" customFormat="1" ht="13.5" customHeight="1" x14ac:dyDescent="0.2"/>
    <row r="636" s="51" customFormat="1" ht="13.5" customHeight="1" x14ac:dyDescent="0.2"/>
    <row r="637" s="51" customFormat="1" ht="13.5" customHeight="1" x14ac:dyDescent="0.2"/>
    <row r="638" s="51" customFormat="1" ht="13.5" customHeight="1" x14ac:dyDescent="0.2"/>
    <row r="639" s="51" customFormat="1" ht="13.5" customHeight="1" x14ac:dyDescent="0.2"/>
    <row r="640" s="51" customFormat="1" ht="13.5" customHeight="1" x14ac:dyDescent="0.2"/>
    <row r="641" s="51" customFormat="1" ht="13.5" customHeight="1" x14ac:dyDescent="0.2"/>
    <row r="642" s="51" customFormat="1" ht="13.5" customHeight="1" x14ac:dyDescent="0.2"/>
    <row r="643" s="51" customFormat="1" ht="13.5" customHeight="1" x14ac:dyDescent="0.2"/>
    <row r="644" s="51" customFormat="1" ht="13.5" customHeight="1" x14ac:dyDescent="0.2"/>
    <row r="645" s="51" customFormat="1" ht="13.5" customHeight="1" x14ac:dyDescent="0.2"/>
    <row r="646" s="51" customFormat="1" ht="13.5" customHeight="1" x14ac:dyDescent="0.2"/>
    <row r="647" s="51" customFormat="1" ht="13.5" customHeight="1" x14ac:dyDescent="0.2"/>
    <row r="648" s="51" customFormat="1" ht="13.5" customHeight="1" x14ac:dyDescent="0.2"/>
    <row r="649" s="51" customFormat="1" ht="13.5" customHeight="1" x14ac:dyDescent="0.2"/>
    <row r="650" s="51" customFormat="1" ht="13.5" customHeight="1" x14ac:dyDescent="0.2"/>
    <row r="651" s="51" customFormat="1" ht="13.5" customHeight="1" x14ac:dyDescent="0.2"/>
    <row r="652" s="51" customFormat="1" ht="13.5" customHeight="1" x14ac:dyDescent="0.2"/>
    <row r="653" s="51" customFormat="1" ht="13.5" customHeight="1" x14ac:dyDescent="0.2"/>
    <row r="654" s="51" customFormat="1" ht="13.5" customHeight="1" x14ac:dyDescent="0.2"/>
    <row r="655" s="51" customFormat="1" ht="13.5" customHeight="1" x14ac:dyDescent="0.2"/>
    <row r="656" s="51" customFormat="1" ht="13.5" customHeight="1" x14ac:dyDescent="0.2"/>
    <row r="657" s="51" customFormat="1" ht="13.5" customHeight="1" x14ac:dyDescent="0.2"/>
    <row r="658" s="51" customFormat="1" ht="13.5" customHeight="1" x14ac:dyDescent="0.2"/>
    <row r="659" s="51" customFormat="1" ht="13.5" customHeight="1" x14ac:dyDescent="0.2"/>
    <row r="660" s="51" customFormat="1" ht="13.5" customHeight="1" x14ac:dyDescent="0.2"/>
    <row r="661" s="51" customFormat="1" ht="13.5" customHeight="1" x14ac:dyDescent="0.2"/>
    <row r="662" s="51" customFormat="1" ht="13.5" customHeight="1" x14ac:dyDescent="0.2"/>
    <row r="663" s="51" customFormat="1" ht="13.5" customHeight="1" x14ac:dyDescent="0.2"/>
    <row r="664" s="51" customFormat="1" ht="13.5" customHeight="1" x14ac:dyDescent="0.2"/>
    <row r="665" s="51" customFormat="1" ht="13.5" customHeight="1" x14ac:dyDescent="0.2"/>
    <row r="666" s="51" customFormat="1" ht="13.5" customHeight="1" x14ac:dyDescent="0.2"/>
    <row r="667" s="51" customFormat="1" ht="13.5" customHeight="1" x14ac:dyDescent="0.2"/>
    <row r="668" s="51" customFormat="1" ht="13.5" customHeight="1" x14ac:dyDescent="0.2"/>
    <row r="669" s="51" customFormat="1" ht="13.5" customHeight="1" x14ac:dyDescent="0.2"/>
    <row r="670" s="51" customFormat="1" ht="13.5" customHeight="1" x14ac:dyDescent="0.2"/>
    <row r="671" s="51" customFormat="1" ht="13.5" customHeight="1" x14ac:dyDescent="0.2"/>
    <row r="672" s="51" customFormat="1" ht="13.5" customHeight="1" x14ac:dyDescent="0.2"/>
    <row r="673" s="51" customFormat="1" ht="13.5" customHeight="1" x14ac:dyDescent="0.2"/>
    <row r="674" s="51" customFormat="1" ht="13.5" customHeight="1" x14ac:dyDescent="0.2"/>
    <row r="675" s="51" customFormat="1" ht="13.5" customHeight="1" x14ac:dyDescent="0.2"/>
    <row r="676" s="51" customFormat="1" ht="13.5" customHeight="1" x14ac:dyDescent="0.2"/>
    <row r="677" s="51" customFormat="1" ht="13.5" customHeight="1" x14ac:dyDescent="0.2"/>
    <row r="678" s="51" customFormat="1" ht="13.5" customHeight="1" x14ac:dyDescent="0.2"/>
    <row r="679" s="51" customFormat="1" ht="13.5" customHeight="1" x14ac:dyDescent="0.2"/>
    <row r="680" s="51" customFormat="1" ht="13.5" customHeight="1" x14ac:dyDescent="0.2"/>
    <row r="681" s="51" customFormat="1" ht="13.5" customHeight="1" x14ac:dyDescent="0.2"/>
    <row r="682" s="51" customFormat="1" ht="13.5" customHeight="1" x14ac:dyDescent="0.2"/>
    <row r="683" s="51" customFormat="1" ht="13.5" customHeight="1" x14ac:dyDescent="0.2"/>
    <row r="684" s="51" customFormat="1" ht="13.5" customHeight="1" x14ac:dyDescent="0.2"/>
    <row r="685" s="51" customFormat="1" ht="13.5" customHeight="1" x14ac:dyDescent="0.2"/>
    <row r="686" s="51" customFormat="1" ht="13.5" customHeight="1" x14ac:dyDescent="0.2"/>
    <row r="687" s="51" customFormat="1" ht="13.5" customHeight="1" x14ac:dyDescent="0.2"/>
    <row r="688" s="51" customFormat="1" ht="13.5" customHeight="1" x14ac:dyDescent="0.2"/>
    <row r="689" s="51" customFormat="1" ht="13.5" customHeight="1" x14ac:dyDescent="0.2"/>
    <row r="690" s="51" customFormat="1" ht="13.5" customHeight="1" x14ac:dyDescent="0.2"/>
    <row r="691" s="51" customFormat="1" ht="13.5" customHeight="1" x14ac:dyDescent="0.2"/>
    <row r="692" s="51" customFormat="1" ht="13.5" customHeight="1" x14ac:dyDescent="0.2"/>
    <row r="693" s="51" customFormat="1" ht="13.5" customHeight="1" x14ac:dyDescent="0.2"/>
    <row r="694" s="51" customFormat="1" ht="13.5" customHeight="1" x14ac:dyDescent="0.2"/>
    <row r="695" s="51" customFormat="1" ht="13.5" customHeight="1" x14ac:dyDescent="0.2"/>
    <row r="696" s="51" customFormat="1" ht="13.5" customHeight="1" x14ac:dyDescent="0.2"/>
    <row r="697" s="51" customFormat="1" ht="13.5" customHeight="1" x14ac:dyDescent="0.2"/>
    <row r="698" s="51" customFormat="1" ht="13.5" customHeight="1" x14ac:dyDescent="0.2"/>
    <row r="699" s="51" customFormat="1" ht="13.5" customHeight="1" x14ac:dyDescent="0.2"/>
    <row r="700" s="51" customFormat="1" ht="13.5" customHeight="1" x14ac:dyDescent="0.2"/>
    <row r="701" s="51" customFormat="1" ht="13.5" customHeight="1" x14ac:dyDescent="0.2"/>
    <row r="702" s="51" customFormat="1" ht="13.5" customHeight="1" x14ac:dyDescent="0.2"/>
    <row r="703" s="51" customFormat="1" ht="13.5" customHeight="1" x14ac:dyDescent="0.2"/>
    <row r="704" s="51" customFormat="1" ht="13.5" customHeight="1" x14ac:dyDescent="0.2"/>
    <row r="705" s="51" customFormat="1" ht="13.5" customHeight="1" x14ac:dyDescent="0.2"/>
    <row r="706" s="51" customFormat="1" ht="13.5" customHeight="1" x14ac:dyDescent="0.2"/>
    <row r="707" s="51" customFormat="1" ht="13.5" customHeight="1" x14ac:dyDescent="0.2"/>
    <row r="708" s="51" customFormat="1" ht="13.5" customHeight="1" x14ac:dyDescent="0.2"/>
    <row r="709" s="51" customFormat="1" ht="13.5" customHeight="1" x14ac:dyDescent="0.2"/>
    <row r="710" s="51" customFormat="1" ht="13.5" customHeight="1" x14ac:dyDescent="0.2"/>
    <row r="711" s="51" customFormat="1" ht="13.5" customHeight="1" x14ac:dyDescent="0.2"/>
    <row r="712" s="51" customFormat="1" ht="13.5" customHeight="1" x14ac:dyDescent="0.2"/>
    <row r="713" s="51" customFormat="1" ht="13.5" customHeight="1" x14ac:dyDescent="0.2"/>
    <row r="714" s="51" customFormat="1" ht="13.5" customHeight="1" x14ac:dyDescent="0.2"/>
    <row r="715" s="51" customFormat="1" ht="13.5" customHeight="1" x14ac:dyDescent="0.2"/>
    <row r="716" s="51" customFormat="1" ht="13.5" customHeight="1" x14ac:dyDescent="0.2"/>
    <row r="717" s="51" customFormat="1" ht="13.5" customHeight="1" x14ac:dyDescent="0.2"/>
    <row r="718" s="51" customFormat="1" ht="13.5" customHeight="1" x14ac:dyDescent="0.2"/>
    <row r="719" s="51" customFormat="1" ht="13.5" customHeight="1" x14ac:dyDescent="0.2"/>
    <row r="720" s="51" customFormat="1" ht="13.5" customHeight="1" x14ac:dyDescent="0.2"/>
    <row r="721" s="51" customFormat="1" ht="13.5" customHeight="1" x14ac:dyDescent="0.2"/>
    <row r="722" s="51" customFormat="1" ht="13.5" customHeight="1" x14ac:dyDescent="0.2"/>
    <row r="723" s="51" customFormat="1" ht="13.5" customHeight="1" x14ac:dyDescent="0.2"/>
    <row r="724" s="51" customFormat="1" ht="13.5" customHeight="1" x14ac:dyDescent="0.2"/>
    <row r="725" s="51" customFormat="1" ht="13.5" customHeight="1" x14ac:dyDescent="0.2"/>
    <row r="726" s="51" customFormat="1" ht="13.5" customHeight="1" x14ac:dyDescent="0.2"/>
    <row r="727" s="51" customFormat="1" ht="13.5" customHeight="1" x14ac:dyDescent="0.2"/>
    <row r="728" s="51" customFormat="1" ht="13.5" customHeight="1" x14ac:dyDescent="0.2"/>
    <row r="729" s="51" customFormat="1" ht="13.5" customHeight="1" x14ac:dyDescent="0.2"/>
    <row r="730" s="51" customFormat="1" ht="13.5" customHeight="1" x14ac:dyDescent="0.2"/>
    <row r="731" s="51" customFormat="1" ht="13.5" customHeight="1" x14ac:dyDescent="0.2"/>
    <row r="732" s="51" customFormat="1" ht="13.5" customHeight="1" x14ac:dyDescent="0.2"/>
    <row r="733" s="51" customFormat="1" ht="13.5" customHeight="1" x14ac:dyDescent="0.2"/>
    <row r="734" s="51" customFormat="1" ht="13.5" customHeight="1" x14ac:dyDescent="0.2"/>
    <row r="735" s="51" customFormat="1" ht="13.5" customHeight="1" x14ac:dyDescent="0.2"/>
    <row r="736" s="51" customFormat="1" ht="13.5" customHeight="1" x14ac:dyDescent="0.2"/>
    <row r="737" s="51" customFormat="1" ht="13.5" customHeight="1" x14ac:dyDescent="0.2"/>
    <row r="738" s="51" customFormat="1" ht="13.5" customHeight="1" x14ac:dyDescent="0.2"/>
    <row r="739" s="51" customFormat="1" ht="13.5" customHeight="1" x14ac:dyDescent="0.2"/>
    <row r="740" s="51" customFormat="1" ht="13.5" customHeight="1" x14ac:dyDescent="0.2"/>
    <row r="741" s="51" customFormat="1" ht="13.5" customHeight="1" x14ac:dyDescent="0.2"/>
    <row r="742" s="51" customFormat="1" ht="13.5" customHeight="1" x14ac:dyDescent="0.2"/>
    <row r="743" s="51" customFormat="1" ht="13.5" customHeight="1" x14ac:dyDescent="0.2"/>
    <row r="744" s="51" customFormat="1" ht="13.5" customHeight="1" x14ac:dyDescent="0.2"/>
    <row r="745" s="51" customFormat="1" ht="13.5" customHeight="1" x14ac:dyDescent="0.2"/>
    <row r="746" s="51" customFormat="1" ht="13.5" customHeight="1" x14ac:dyDescent="0.2"/>
    <row r="747" s="51" customFormat="1" ht="13.5" customHeight="1" x14ac:dyDescent="0.2"/>
    <row r="748" s="51" customFormat="1" ht="13.5" customHeight="1" x14ac:dyDescent="0.2"/>
    <row r="749" s="51" customFormat="1" ht="13.5" customHeight="1" x14ac:dyDescent="0.2"/>
    <row r="750" s="51" customFormat="1" ht="13.5" customHeight="1" x14ac:dyDescent="0.2"/>
    <row r="751" s="51" customFormat="1" ht="13.5" customHeight="1" x14ac:dyDescent="0.2"/>
    <row r="752" s="51" customFormat="1" ht="13.5" customHeight="1" x14ac:dyDescent="0.2"/>
    <row r="753" s="51" customFormat="1" ht="13.5" customHeight="1" x14ac:dyDescent="0.2"/>
    <row r="754" s="51" customFormat="1" ht="13.5" customHeight="1" x14ac:dyDescent="0.2"/>
    <row r="755" s="51" customFormat="1" ht="13.5" customHeight="1" x14ac:dyDescent="0.2"/>
    <row r="756" s="51" customFormat="1" ht="13.5" customHeight="1" x14ac:dyDescent="0.2"/>
    <row r="757" s="51" customFormat="1" ht="13.5" customHeight="1" x14ac:dyDescent="0.2"/>
    <row r="758" s="51" customFormat="1" ht="13.5" customHeight="1" x14ac:dyDescent="0.2"/>
    <row r="759" s="51" customFormat="1" ht="13.5" customHeight="1" x14ac:dyDescent="0.2"/>
    <row r="760" s="51" customFormat="1" ht="13.5" customHeight="1" x14ac:dyDescent="0.2"/>
    <row r="761" s="51" customFormat="1" ht="13.5" customHeight="1" x14ac:dyDescent="0.2"/>
    <row r="762" s="51" customFormat="1" ht="13.5" customHeight="1" x14ac:dyDescent="0.2"/>
    <row r="763" s="51" customFormat="1" ht="13.5" customHeight="1" x14ac:dyDescent="0.2"/>
    <row r="764" s="51" customFormat="1" ht="13.5" customHeight="1" x14ac:dyDescent="0.2"/>
    <row r="765" s="51" customFormat="1" ht="13.5" customHeight="1" x14ac:dyDescent="0.2"/>
    <row r="766" s="51" customFormat="1" ht="13.5" customHeight="1" x14ac:dyDescent="0.2"/>
    <row r="767" s="51" customFormat="1" ht="13.5" customHeight="1" x14ac:dyDescent="0.2"/>
    <row r="768" s="51" customFormat="1" ht="13.5" customHeight="1" x14ac:dyDescent="0.2"/>
    <row r="769" s="51" customFormat="1" ht="13.5" customHeight="1" x14ac:dyDescent="0.2"/>
    <row r="770" s="51" customFormat="1" ht="13.5" customHeight="1" x14ac:dyDescent="0.2"/>
    <row r="771" s="51" customFormat="1" ht="13.5" customHeight="1" x14ac:dyDescent="0.2"/>
    <row r="772" s="51" customFormat="1" ht="13.5" customHeight="1" x14ac:dyDescent="0.2"/>
    <row r="773" s="51" customFormat="1" ht="13.5" customHeight="1" x14ac:dyDescent="0.2"/>
    <row r="774" s="51" customFormat="1" ht="13.5" customHeight="1" x14ac:dyDescent="0.2"/>
    <row r="775" s="51" customFormat="1" ht="13.5" customHeight="1" x14ac:dyDescent="0.2"/>
    <row r="776" s="51" customFormat="1" ht="13.5" customHeight="1" x14ac:dyDescent="0.2"/>
    <row r="777" s="51" customFormat="1" ht="13.5" customHeight="1" x14ac:dyDescent="0.2"/>
    <row r="778" s="51" customFormat="1" ht="13.5" customHeight="1" x14ac:dyDescent="0.2"/>
    <row r="779" s="51" customFormat="1" ht="13.5" customHeight="1" x14ac:dyDescent="0.2"/>
    <row r="780" s="51" customFormat="1" ht="13.5" customHeight="1" x14ac:dyDescent="0.2"/>
    <row r="781" s="51" customFormat="1" ht="13.5" customHeight="1" x14ac:dyDescent="0.2"/>
    <row r="782" s="51" customFormat="1" ht="13.5" customHeight="1" x14ac:dyDescent="0.2"/>
    <row r="783" s="51" customFormat="1" ht="13.5" customHeight="1" x14ac:dyDescent="0.2"/>
    <row r="784" s="51" customFormat="1" ht="13.5" customHeight="1" x14ac:dyDescent="0.2"/>
    <row r="785" s="51" customFormat="1" ht="13.5" customHeight="1" x14ac:dyDescent="0.2"/>
    <row r="786" s="51" customFormat="1" ht="13.5" customHeight="1" x14ac:dyDescent="0.2"/>
    <row r="787" s="51" customFormat="1" ht="13.5" customHeight="1" x14ac:dyDescent="0.2"/>
    <row r="788" s="51" customFormat="1" ht="13.5" customHeight="1" x14ac:dyDescent="0.2"/>
    <row r="789" s="51" customFormat="1" ht="13.5" customHeight="1" x14ac:dyDescent="0.2"/>
    <row r="790" s="51" customFormat="1" ht="13.5" customHeight="1" x14ac:dyDescent="0.2"/>
    <row r="791" s="51" customFormat="1" ht="13.5" customHeight="1" x14ac:dyDescent="0.2"/>
    <row r="792" s="51" customFormat="1" ht="13.5" customHeight="1" x14ac:dyDescent="0.2"/>
    <row r="793" s="51" customFormat="1" ht="13.5" customHeight="1" x14ac:dyDescent="0.2"/>
    <row r="794" s="51" customFormat="1" ht="13.5" customHeight="1" x14ac:dyDescent="0.2"/>
    <row r="795" s="51" customFormat="1" ht="13.5" customHeight="1" x14ac:dyDescent="0.2"/>
    <row r="796" s="51" customFormat="1" ht="13.5" customHeight="1" x14ac:dyDescent="0.2"/>
    <row r="797" s="51" customFormat="1" ht="13.5" customHeight="1" x14ac:dyDescent="0.2"/>
    <row r="798" s="51" customFormat="1" ht="13.5" customHeight="1" x14ac:dyDescent="0.2"/>
    <row r="799" s="51" customFormat="1" ht="13.5" customHeight="1" x14ac:dyDescent="0.2"/>
    <row r="800" s="51" customFormat="1" ht="13.5" customHeight="1" x14ac:dyDescent="0.2"/>
    <row r="801" s="51" customFormat="1" ht="13.5" customHeight="1" x14ac:dyDescent="0.2"/>
    <row r="802" s="51" customFormat="1" ht="13.5" customHeight="1" x14ac:dyDescent="0.2"/>
    <row r="803" s="51" customFormat="1" ht="13.5" customHeight="1" x14ac:dyDescent="0.2"/>
    <row r="804" s="51" customFormat="1" ht="13.5" customHeight="1" x14ac:dyDescent="0.2"/>
    <row r="805" s="51" customFormat="1" ht="13.5" customHeight="1" x14ac:dyDescent="0.2"/>
    <row r="806" s="51" customFormat="1" ht="13.5" customHeight="1" x14ac:dyDescent="0.2"/>
    <row r="807" s="51" customFormat="1" ht="13.5" customHeight="1" x14ac:dyDescent="0.2"/>
    <row r="808" s="51" customFormat="1" ht="13.5" customHeight="1" x14ac:dyDescent="0.2"/>
    <row r="809" s="51" customFormat="1" ht="13.5" customHeight="1" x14ac:dyDescent="0.2"/>
    <row r="810" s="51" customFormat="1" ht="13.5" customHeight="1" x14ac:dyDescent="0.2"/>
    <row r="811" s="51" customFormat="1" ht="13.5" customHeight="1" x14ac:dyDescent="0.2"/>
    <row r="812" s="51" customFormat="1" ht="13.5" customHeight="1" x14ac:dyDescent="0.2"/>
    <row r="813" s="51" customFormat="1" ht="13.5" customHeight="1" x14ac:dyDescent="0.2"/>
    <row r="814" s="51" customFormat="1" ht="13.5" customHeight="1" x14ac:dyDescent="0.2"/>
    <row r="815" s="51" customFormat="1" ht="13.5" customHeight="1" x14ac:dyDescent="0.2"/>
    <row r="816" s="51" customFormat="1" ht="13.5" customHeight="1" x14ac:dyDescent="0.2"/>
    <row r="817" s="51" customFormat="1" ht="13.5" customHeight="1" x14ac:dyDescent="0.2"/>
    <row r="818" s="51" customFormat="1" ht="13.5" customHeight="1" x14ac:dyDescent="0.2"/>
    <row r="819" s="51" customFormat="1" ht="13.5" customHeight="1" x14ac:dyDescent="0.2"/>
    <row r="820" s="51" customFormat="1" ht="13.5" customHeight="1" x14ac:dyDescent="0.2"/>
    <row r="821" s="51" customFormat="1" ht="13.5" customHeight="1" x14ac:dyDescent="0.2"/>
    <row r="822" s="51" customFormat="1" ht="13.5" customHeight="1" x14ac:dyDescent="0.2"/>
    <row r="823" s="51" customFormat="1" ht="13.5" customHeight="1" x14ac:dyDescent="0.2"/>
    <row r="824" s="51" customFormat="1" ht="13.5" customHeight="1" x14ac:dyDescent="0.2"/>
    <row r="825" s="51" customFormat="1" ht="13.5" customHeight="1" x14ac:dyDescent="0.2"/>
    <row r="826" s="51" customFormat="1" ht="13.5" customHeight="1" x14ac:dyDescent="0.2"/>
    <row r="827" s="51" customFormat="1" ht="13.5" customHeight="1" x14ac:dyDescent="0.2"/>
    <row r="828" s="51" customFormat="1" ht="13.5" customHeight="1" x14ac:dyDescent="0.2"/>
    <row r="829" s="51" customFormat="1" ht="13.5" customHeight="1" x14ac:dyDescent="0.2"/>
    <row r="830" s="51" customFormat="1" ht="13.5" customHeight="1" x14ac:dyDescent="0.2"/>
    <row r="831" s="51" customFormat="1" ht="13.5" customHeight="1" x14ac:dyDescent="0.2"/>
    <row r="832" s="51" customFormat="1" ht="13.5" customHeight="1" x14ac:dyDescent="0.2"/>
    <row r="833" s="51" customFormat="1" ht="13.5" customHeight="1" x14ac:dyDescent="0.2"/>
    <row r="834" s="51" customFormat="1" ht="13.5" customHeight="1" x14ac:dyDescent="0.2"/>
    <row r="835" s="51" customFormat="1" ht="13.5" customHeight="1" x14ac:dyDescent="0.2"/>
    <row r="836" s="51" customFormat="1" ht="13.5" customHeight="1" x14ac:dyDescent="0.2"/>
    <row r="837" s="51" customFormat="1" ht="13.5" customHeight="1" x14ac:dyDescent="0.2"/>
    <row r="838" s="51" customFormat="1" ht="13.5" customHeight="1" x14ac:dyDescent="0.2"/>
    <row r="839" s="51" customFormat="1" ht="13.5" customHeight="1" x14ac:dyDescent="0.2"/>
    <row r="840" s="51" customFormat="1" ht="13.5" customHeight="1" x14ac:dyDescent="0.2"/>
    <row r="841" s="51" customFormat="1" ht="13.5" customHeight="1" x14ac:dyDescent="0.2"/>
    <row r="842" s="51" customFormat="1" ht="13.5" customHeight="1" x14ac:dyDescent="0.2"/>
    <row r="843" s="51" customFormat="1" ht="13.5" customHeight="1" x14ac:dyDescent="0.2"/>
    <row r="844" s="51" customFormat="1" ht="13.5" customHeight="1" x14ac:dyDescent="0.2"/>
    <row r="845" s="51" customFormat="1" ht="13.5" customHeight="1" x14ac:dyDescent="0.2"/>
    <row r="846" s="51" customFormat="1" ht="13.5" customHeight="1" x14ac:dyDescent="0.2"/>
    <row r="847" s="51" customFormat="1" ht="13.5" customHeight="1" x14ac:dyDescent="0.2"/>
    <row r="848" s="51" customFormat="1" ht="13.5" customHeight="1" x14ac:dyDescent="0.2"/>
    <row r="849" s="51" customFormat="1" ht="13.5" customHeight="1" x14ac:dyDescent="0.2"/>
    <row r="850" s="51" customFormat="1" ht="13.5" customHeight="1" x14ac:dyDescent="0.2"/>
    <row r="851" s="51" customFormat="1" ht="13.5" customHeight="1" x14ac:dyDescent="0.2"/>
    <row r="852" s="51" customFormat="1" ht="13.5" customHeight="1" x14ac:dyDescent="0.2"/>
    <row r="853" s="51" customFormat="1" ht="13.5" customHeight="1" x14ac:dyDescent="0.2"/>
    <row r="854" s="51" customFormat="1" ht="13.5" customHeight="1" x14ac:dyDescent="0.2"/>
    <row r="855" s="51" customFormat="1" ht="13.5" customHeight="1" x14ac:dyDescent="0.2"/>
    <row r="856" s="51" customFormat="1" ht="13.5" customHeight="1" x14ac:dyDescent="0.2"/>
    <row r="857" s="51" customFormat="1" ht="13.5" customHeight="1" x14ac:dyDescent="0.2"/>
    <row r="858" s="51" customFormat="1" ht="13.5" customHeight="1" x14ac:dyDescent="0.2"/>
    <row r="859" s="51" customFormat="1" ht="13.5" customHeight="1" x14ac:dyDescent="0.2"/>
    <row r="860" s="51" customFormat="1" ht="13.5" customHeight="1" x14ac:dyDescent="0.2"/>
    <row r="861" s="51" customFormat="1" ht="13.5" customHeight="1" x14ac:dyDescent="0.2"/>
    <row r="862" s="51" customFormat="1" ht="13.5" customHeight="1" x14ac:dyDescent="0.2"/>
    <row r="863" s="51" customFormat="1" ht="13.5" customHeight="1" x14ac:dyDescent="0.2"/>
    <row r="864" s="51" customFormat="1" ht="13.5" customHeight="1" x14ac:dyDescent="0.2"/>
    <row r="865" s="51" customFormat="1" ht="13.5" customHeight="1" x14ac:dyDescent="0.2"/>
    <row r="866" s="51" customFormat="1" ht="13.5" customHeight="1" x14ac:dyDescent="0.2"/>
    <row r="867" s="51" customFormat="1" ht="13.5" customHeight="1" x14ac:dyDescent="0.2"/>
    <row r="868" s="51" customFormat="1" ht="13.5" customHeight="1" x14ac:dyDescent="0.2"/>
    <row r="869" s="51" customFormat="1" ht="13.5" customHeight="1" x14ac:dyDescent="0.2"/>
    <row r="870" s="51" customFormat="1" ht="13.5" customHeight="1" x14ac:dyDescent="0.2"/>
    <row r="871" s="51" customFormat="1" ht="13.5" customHeight="1" x14ac:dyDescent="0.2"/>
    <row r="872" s="51" customFormat="1" ht="13.5" customHeight="1" x14ac:dyDescent="0.2"/>
    <row r="873" s="51" customFormat="1" ht="13.5" customHeight="1" x14ac:dyDescent="0.2"/>
    <row r="874" s="51" customFormat="1" ht="13.5" customHeight="1" x14ac:dyDescent="0.2"/>
    <row r="875" s="51" customFormat="1" ht="13.5" customHeight="1" x14ac:dyDescent="0.2"/>
    <row r="876" s="51" customFormat="1" ht="13.5" customHeight="1" x14ac:dyDescent="0.2"/>
    <row r="877" s="51" customFormat="1" ht="13.5" customHeight="1" x14ac:dyDescent="0.2"/>
    <row r="878" s="51" customFormat="1" ht="13.5" customHeight="1" x14ac:dyDescent="0.2"/>
    <row r="879" s="51" customFormat="1" ht="13.5" customHeight="1" x14ac:dyDescent="0.2"/>
    <row r="880" s="51" customFormat="1" ht="13.5" customHeight="1" x14ac:dyDescent="0.2"/>
    <row r="881" s="51" customFormat="1" ht="13.5" customHeight="1" x14ac:dyDescent="0.2"/>
    <row r="882" s="51" customFormat="1" ht="13.5" customHeight="1" x14ac:dyDescent="0.2"/>
    <row r="883" s="51" customFormat="1" ht="13.5" customHeight="1" x14ac:dyDescent="0.2"/>
    <row r="884" s="51" customFormat="1" ht="13.5" customHeight="1" x14ac:dyDescent="0.2"/>
    <row r="885" s="51" customFormat="1" ht="13.5" customHeight="1" x14ac:dyDescent="0.2"/>
    <row r="886" s="51" customFormat="1" ht="13.5" customHeight="1" x14ac:dyDescent="0.2"/>
    <row r="887" s="51" customFormat="1" ht="13.5" customHeight="1" x14ac:dyDescent="0.2"/>
    <row r="888" s="51" customFormat="1" ht="13.5" customHeight="1" x14ac:dyDescent="0.2"/>
    <row r="889" s="51" customFormat="1" ht="13.5" customHeight="1" x14ac:dyDescent="0.2"/>
    <row r="890" s="51" customFormat="1" ht="13.5" customHeight="1" x14ac:dyDescent="0.2"/>
    <row r="891" s="51" customFormat="1" ht="13.5" customHeight="1" x14ac:dyDescent="0.2"/>
    <row r="892" s="51" customFormat="1" ht="13.5" customHeight="1" x14ac:dyDescent="0.2"/>
    <row r="893" s="51" customFormat="1" ht="13.5" customHeight="1" x14ac:dyDescent="0.2"/>
    <row r="894" s="51" customFormat="1" ht="13.5" customHeight="1" x14ac:dyDescent="0.2"/>
    <row r="895" s="51" customFormat="1" ht="13.5" customHeight="1" x14ac:dyDescent="0.2"/>
    <row r="896" s="51" customFormat="1" ht="13.5" customHeight="1" x14ac:dyDescent="0.2"/>
    <row r="897" s="51" customFormat="1" ht="13.5" customHeight="1" x14ac:dyDescent="0.2"/>
    <row r="898" s="51" customFormat="1" ht="13.5" customHeight="1" x14ac:dyDescent="0.2"/>
    <row r="899" s="51" customFormat="1" ht="13.5" customHeight="1" x14ac:dyDescent="0.2"/>
    <row r="900" s="51" customFormat="1" ht="13.5" customHeight="1" x14ac:dyDescent="0.2"/>
    <row r="901" s="51" customFormat="1" ht="13.5" customHeight="1" x14ac:dyDescent="0.2"/>
    <row r="902" s="51" customFormat="1" ht="13.5" customHeight="1" x14ac:dyDescent="0.2"/>
    <row r="903" s="51" customFormat="1" ht="13.5" customHeight="1" x14ac:dyDescent="0.2"/>
    <row r="904" s="51" customFormat="1" ht="13.5" customHeight="1" x14ac:dyDescent="0.2"/>
    <row r="905" s="51" customFormat="1" ht="13.5" customHeight="1" x14ac:dyDescent="0.2"/>
    <row r="906" s="51" customFormat="1" ht="13.5" customHeight="1" x14ac:dyDescent="0.2"/>
    <row r="907" s="51" customFormat="1" ht="13.5" customHeight="1" x14ac:dyDescent="0.2"/>
    <row r="908" s="51" customFormat="1" ht="13.5" customHeight="1" x14ac:dyDescent="0.2"/>
    <row r="909" s="51" customFormat="1" ht="13.5" customHeight="1" x14ac:dyDescent="0.2"/>
    <row r="910" s="51" customFormat="1" ht="13.5" customHeight="1" x14ac:dyDescent="0.2"/>
    <row r="911" s="51" customFormat="1" ht="13.5" customHeight="1" x14ac:dyDescent="0.2"/>
    <row r="912" s="51" customFormat="1" ht="13.5" customHeight="1" x14ac:dyDescent="0.2"/>
    <row r="913" s="51" customFormat="1" ht="13.5" customHeight="1" x14ac:dyDescent="0.2"/>
    <row r="914" s="51" customFormat="1" ht="13.5" customHeight="1" x14ac:dyDescent="0.2"/>
    <row r="915" s="51" customFormat="1" ht="13.5" customHeight="1" x14ac:dyDescent="0.2"/>
    <row r="916" s="51" customFormat="1" ht="13.5" customHeight="1" x14ac:dyDescent="0.2"/>
    <row r="917" s="51" customFormat="1" ht="13.5" customHeight="1" x14ac:dyDescent="0.2"/>
    <row r="918" s="51" customFormat="1" ht="13.5" customHeight="1" x14ac:dyDescent="0.2"/>
    <row r="919" s="51" customFormat="1" ht="13.5" customHeight="1" x14ac:dyDescent="0.2"/>
    <row r="920" s="51" customFormat="1" ht="13.5" customHeight="1" x14ac:dyDescent="0.2"/>
    <row r="921" s="51" customFormat="1" ht="13.5" customHeight="1" x14ac:dyDescent="0.2"/>
    <row r="922" s="51" customFormat="1" ht="13.5" customHeight="1" x14ac:dyDescent="0.2"/>
    <row r="923" s="51" customFormat="1" ht="13.5" customHeight="1" x14ac:dyDescent="0.2"/>
    <row r="924" s="51" customFormat="1" ht="13.5" customHeight="1" x14ac:dyDescent="0.2"/>
    <row r="925" s="51" customFormat="1" ht="13.5" customHeight="1" x14ac:dyDescent="0.2"/>
    <row r="926" s="51" customFormat="1" ht="13.5" customHeight="1" x14ac:dyDescent="0.2"/>
    <row r="927" s="51" customFormat="1" ht="13.5" customHeight="1" x14ac:dyDescent="0.2"/>
    <row r="928" s="51" customFormat="1" ht="13.5" customHeight="1" x14ac:dyDescent="0.2"/>
    <row r="929" s="51" customFormat="1" ht="13.5" customHeight="1" x14ac:dyDescent="0.2"/>
    <row r="930" s="51" customFormat="1" ht="13.5" customHeight="1" x14ac:dyDescent="0.2"/>
    <row r="931" s="51" customFormat="1" ht="13.5" customHeight="1" x14ac:dyDescent="0.2"/>
    <row r="932" s="51" customFormat="1" ht="13.5" customHeight="1" x14ac:dyDescent="0.2"/>
    <row r="933" s="51" customFormat="1" ht="13.5" customHeight="1" x14ac:dyDescent="0.2"/>
    <row r="934" s="51" customFormat="1" ht="13.5" customHeight="1" x14ac:dyDescent="0.2"/>
    <row r="935" s="51" customFormat="1" ht="13.5" customHeight="1" x14ac:dyDescent="0.2"/>
    <row r="936" s="51" customFormat="1" ht="13.5" customHeight="1" x14ac:dyDescent="0.2"/>
    <row r="937" s="51" customFormat="1" ht="13.5" customHeight="1" x14ac:dyDescent="0.2"/>
    <row r="938" s="51" customFormat="1" ht="13.5" customHeight="1" x14ac:dyDescent="0.2"/>
    <row r="939" s="51" customFormat="1" ht="13.5" customHeight="1" x14ac:dyDescent="0.2"/>
    <row r="940" s="51" customFormat="1" ht="13.5" customHeight="1" x14ac:dyDescent="0.2"/>
    <row r="941" s="51" customFormat="1" ht="13.5" customHeight="1" x14ac:dyDescent="0.2"/>
    <row r="942" s="51" customFormat="1" ht="13.5" customHeight="1" x14ac:dyDescent="0.2"/>
    <row r="943" s="51" customFormat="1" ht="13.5" customHeight="1" x14ac:dyDescent="0.2"/>
    <row r="944" s="51" customFormat="1" ht="13.5" customHeight="1" x14ac:dyDescent="0.2"/>
    <row r="945" s="51" customFormat="1" ht="13.5" customHeight="1" x14ac:dyDescent="0.2"/>
    <row r="946" s="51" customFormat="1" ht="13.5" customHeight="1" x14ac:dyDescent="0.2"/>
    <row r="947" s="51" customFormat="1" ht="13.5" customHeight="1" x14ac:dyDescent="0.2"/>
    <row r="948" s="51" customFormat="1" ht="13.5" customHeight="1" x14ac:dyDescent="0.2"/>
    <row r="949" s="51" customFormat="1" ht="13.5" customHeight="1" x14ac:dyDescent="0.2"/>
    <row r="950" s="51" customFormat="1" ht="13.5" customHeight="1" x14ac:dyDescent="0.2"/>
    <row r="951" s="51" customFormat="1" ht="13.5" customHeight="1" x14ac:dyDescent="0.2"/>
    <row r="952" s="51" customFormat="1" ht="13.5" customHeight="1" x14ac:dyDescent="0.2"/>
    <row r="953" s="51" customFormat="1" ht="13.5" customHeight="1" x14ac:dyDescent="0.2"/>
    <row r="954" s="51" customFormat="1" ht="13.5" customHeight="1" x14ac:dyDescent="0.2"/>
    <row r="955" s="51" customFormat="1" ht="13.5" customHeight="1" x14ac:dyDescent="0.2"/>
    <row r="956" s="51" customFormat="1" ht="13.5" customHeight="1" x14ac:dyDescent="0.2"/>
    <row r="957" s="51" customFormat="1" ht="13.5" customHeight="1" x14ac:dyDescent="0.2"/>
    <row r="958" s="51" customFormat="1" ht="13.5" customHeight="1" x14ac:dyDescent="0.2"/>
    <row r="959" s="51" customFormat="1" ht="13.5" customHeight="1" x14ac:dyDescent="0.2"/>
    <row r="960" s="51" customFormat="1" ht="13.5" customHeight="1" x14ac:dyDescent="0.2"/>
    <row r="961" s="51" customFormat="1" ht="13.5" customHeight="1" x14ac:dyDescent="0.2"/>
    <row r="962" s="51" customFormat="1" ht="13.5" customHeight="1" x14ac:dyDescent="0.2"/>
    <row r="963" s="51" customFormat="1" ht="13.5" customHeight="1" x14ac:dyDescent="0.2"/>
    <row r="964" s="51" customFormat="1" ht="13.5" customHeight="1" x14ac:dyDescent="0.2"/>
    <row r="965" s="51" customFormat="1" ht="13.5" customHeight="1" x14ac:dyDescent="0.2"/>
    <row r="966" s="51" customFormat="1" ht="13.5" customHeight="1" x14ac:dyDescent="0.2"/>
    <row r="967" s="51" customFormat="1" ht="13.5" customHeight="1" x14ac:dyDescent="0.2"/>
    <row r="968" s="51" customFormat="1" ht="13.5" customHeight="1" x14ac:dyDescent="0.2"/>
    <row r="969" s="51" customFormat="1" ht="13.5" customHeight="1" x14ac:dyDescent="0.2"/>
    <row r="970" s="51" customFormat="1" ht="13.5" customHeight="1" x14ac:dyDescent="0.2"/>
    <row r="971" s="51" customFormat="1" ht="13.5" customHeight="1" x14ac:dyDescent="0.2"/>
    <row r="972" s="51" customFormat="1" ht="13.5" customHeight="1" x14ac:dyDescent="0.2"/>
    <row r="973" s="51" customFormat="1" ht="13.5" customHeight="1" x14ac:dyDescent="0.2"/>
    <row r="974" s="51" customFormat="1" ht="13.5" customHeight="1" x14ac:dyDescent="0.2"/>
    <row r="975" s="51" customFormat="1" ht="13.5" customHeight="1" x14ac:dyDescent="0.2"/>
    <row r="976" s="51" customFormat="1" ht="13.5" customHeight="1" x14ac:dyDescent="0.2"/>
    <row r="977" s="51" customFormat="1" ht="13.5" customHeight="1" x14ac:dyDescent="0.2"/>
    <row r="978" s="51" customFormat="1" ht="13.5" customHeight="1" x14ac:dyDescent="0.2"/>
    <row r="979" s="51" customFormat="1" ht="13.5" customHeight="1" x14ac:dyDescent="0.2"/>
    <row r="980" s="51" customFormat="1" ht="13.5" customHeight="1" x14ac:dyDescent="0.2"/>
    <row r="981" s="51" customFormat="1" ht="13.5" customHeight="1" x14ac:dyDescent="0.2"/>
    <row r="982" s="51" customFormat="1" ht="13.5" customHeight="1" x14ac:dyDescent="0.2"/>
    <row r="983" s="51" customFormat="1" ht="13.5" customHeight="1" x14ac:dyDescent="0.2"/>
    <row r="984" s="51" customFormat="1" ht="13.5" customHeight="1" x14ac:dyDescent="0.2"/>
    <row r="985" s="51" customFormat="1" ht="13.5" customHeight="1" x14ac:dyDescent="0.2"/>
    <row r="986" s="51" customFormat="1" ht="13.5" customHeight="1" x14ac:dyDescent="0.2"/>
    <row r="987" s="51" customFormat="1" ht="13.5" customHeight="1" x14ac:dyDescent="0.2"/>
    <row r="988" s="51" customFormat="1" ht="13.5" customHeight="1" x14ac:dyDescent="0.2"/>
    <row r="989" s="51" customFormat="1" ht="13.5" customHeight="1" x14ac:dyDescent="0.2"/>
    <row r="990" s="51" customFormat="1" ht="13.5" customHeight="1" x14ac:dyDescent="0.2"/>
    <row r="991" s="51" customFormat="1" ht="13.5" customHeight="1" x14ac:dyDescent="0.2"/>
    <row r="992" s="51" customFormat="1" ht="13.5" customHeight="1" x14ac:dyDescent="0.2"/>
    <row r="993" s="51" customFormat="1" ht="13.5" customHeight="1" x14ac:dyDescent="0.2"/>
    <row r="994" s="51" customFormat="1" ht="13.5" customHeight="1" x14ac:dyDescent="0.2"/>
    <row r="995" s="51" customFormat="1" ht="13.5" customHeight="1" x14ac:dyDescent="0.2"/>
    <row r="996" s="51" customFormat="1" ht="13.5" customHeight="1" x14ac:dyDescent="0.2"/>
    <row r="997" s="51" customFormat="1" ht="13.5" customHeight="1" x14ac:dyDescent="0.2"/>
    <row r="998" s="51" customFormat="1" ht="13.5" customHeight="1" x14ac:dyDescent="0.2"/>
    <row r="999" s="51" customFormat="1" ht="13.5" customHeight="1" x14ac:dyDescent="0.2"/>
    <row r="1000" s="51" customFormat="1" ht="13.5" customHeight="1" x14ac:dyDescent="0.2"/>
  </sheetData>
  <mergeCells count="6">
    <mergeCell ref="B31:N31"/>
    <mergeCell ref="B2:N3"/>
    <mergeCell ref="B4:N4"/>
    <mergeCell ref="B8:N8"/>
    <mergeCell ref="B16:N16"/>
    <mergeCell ref="B24:N24"/>
  </mergeCells>
  <conditionalFormatting sqref="C32:N32">
    <cfRule type="cellIs" dxfId="4" priority="1" operator="equal">
      <formula>0</formula>
    </cfRule>
    <cfRule type="cellIs" dxfId="3" priority="2" operator="notEqual">
      <formula>0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N1000"/>
  <sheetViews>
    <sheetView showGridLines="0" workbookViewId="0">
      <selection activeCell="B23" sqref="B23:N23"/>
    </sheetView>
  </sheetViews>
  <sheetFormatPr baseColWidth="10" defaultColWidth="12.6640625" defaultRowHeight="15" customHeight="1" x14ac:dyDescent="0.2"/>
  <cols>
    <col min="1" max="1" width="3.33203125" style="51" customWidth="1"/>
    <col min="2" max="2" width="31" style="51" customWidth="1"/>
    <col min="3" max="14" width="12" style="51" customWidth="1"/>
    <col min="15" max="27" width="8.83203125" style="51" customWidth="1"/>
    <col min="28" max="16384" width="12.6640625" style="51"/>
  </cols>
  <sheetData>
    <row r="2" spans="2:14" ht="13.5" customHeight="1" x14ac:dyDescent="0.2">
      <c r="B2" s="57" t="s">
        <v>333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</row>
    <row r="3" spans="2:14" ht="13.5" customHeight="1" x14ac:dyDescent="0.2"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</row>
    <row r="4" spans="2:14" ht="13.5" customHeight="1" x14ac:dyDescent="0.2">
      <c r="B4" s="74" t="s">
        <v>360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2:14" ht="13.5" customHeight="1" x14ac:dyDescent="0.2"/>
    <row r="6" spans="2:14" ht="13.5" customHeight="1" x14ac:dyDescent="0.2">
      <c r="B6" s="50" t="s">
        <v>183</v>
      </c>
      <c r="C6" s="18">
        <v>46388</v>
      </c>
      <c r="D6" s="18">
        <v>46419</v>
      </c>
      <c r="E6" s="18">
        <v>46447</v>
      </c>
      <c r="F6" s="18">
        <v>46478</v>
      </c>
      <c r="G6" s="18">
        <v>46508</v>
      </c>
      <c r="H6" s="18">
        <v>46539</v>
      </c>
      <c r="I6" s="18">
        <v>46569</v>
      </c>
      <c r="J6" s="18">
        <v>46600</v>
      </c>
      <c r="K6" s="18">
        <v>46631</v>
      </c>
      <c r="L6" s="18">
        <v>46661</v>
      </c>
      <c r="M6" s="18">
        <v>46692</v>
      </c>
      <c r="N6" s="18">
        <v>46722</v>
      </c>
    </row>
    <row r="7" spans="2:14" ht="13.5" customHeight="1" x14ac:dyDescent="0.2"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2:14" ht="13.5" customHeight="1" x14ac:dyDescent="0.2">
      <c r="B8" s="66" t="s">
        <v>361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8"/>
    </row>
    <row r="9" spans="2:14" ht="13.5" customHeight="1" x14ac:dyDescent="0.2">
      <c r="B9" s="19" t="s">
        <v>325</v>
      </c>
      <c r="C9" s="21">
        <f>IS!C$29</f>
        <v>-672.62295315555559</v>
      </c>
      <c r="D9" s="21">
        <f>IS!D$29</f>
        <v>-678.14864340093379</v>
      </c>
      <c r="E9" s="21">
        <f>IS!E$29</f>
        <v>-681.31340776058914</v>
      </c>
      <c r="F9" s="21">
        <f>IS!F$29</f>
        <v>-681.20507995066362</v>
      </c>
      <c r="G9" s="21">
        <f>IS!G$29</f>
        <v>-677.36960425864686</v>
      </c>
      <c r="H9" s="21">
        <f>IS!H$29</f>
        <v>-669.82794251937719</v>
      </c>
      <c r="I9" s="21">
        <f>IS!I$29</f>
        <v>-658.60093027171092</v>
      </c>
      <c r="J9" s="21">
        <f>IS!J$29</f>
        <v>-643.70927751609759</v>
      </c>
      <c r="K9" s="21">
        <f>IS!K$29</f>
        <v>-625.17356946761834</v>
      </c>
      <c r="L9" s="21">
        <f>IS!L$29</f>
        <v>-603.01426730449873</v>
      </c>
      <c r="M9" s="21">
        <f>IS!M$29</f>
        <v>-577.25170891213281</v>
      </c>
      <c r="N9" s="21">
        <f>IS!N$29</f>
        <v>-547.90610962264327</v>
      </c>
    </row>
    <row r="10" spans="2:14" ht="13.5" customHeight="1" x14ac:dyDescent="0.2">
      <c r="B10" s="19" t="s">
        <v>362</v>
      </c>
      <c r="C10" s="21">
        <f>'FA &amp; D&amp;A'!C$17</f>
        <v>27.222222222222221</v>
      </c>
      <c r="D10" s="21">
        <f>'FA &amp; D&amp;A'!D$17</f>
        <v>29.444444444444443</v>
      </c>
      <c r="E10" s="21">
        <f>'FA &amp; D&amp;A'!E$17</f>
        <v>31.666666666666668</v>
      </c>
      <c r="F10" s="21">
        <f>'FA &amp; D&amp;A'!F$17</f>
        <v>33.888888888888886</v>
      </c>
      <c r="G10" s="21">
        <f>'FA &amp; D&amp;A'!G$17</f>
        <v>36.111111111111114</v>
      </c>
      <c r="H10" s="21">
        <f>'FA &amp; D&amp;A'!H$17</f>
        <v>38.333333333333336</v>
      </c>
      <c r="I10" s="21">
        <f>'FA &amp; D&amp;A'!I$17</f>
        <v>40.555555555555557</v>
      </c>
      <c r="J10" s="21">
        <f>'FA &amp; D&amp;A'!J$17</f>
        <v>42.777777777777779</v>
      </c>
      <c r="K10" s="21">
        <f>'FA &amp; D&amp;A'!K$17</f>
        <v>45</v>
      </c>
      <c r="L10" s="21">
        <f>'FA &amp; D&amp;A'!L$17</f>
        <v>47.222222222222221</v>
      </c>
      <c r="M10" s="21">
        <f>'FA &amp; D&amp;A'!M$17</f>
        <v>49.444444444444443</v>
      </c>
      <c r="N10" s="21">
        <f>'FA &amp; D&amp;A'!N$17</f>
        <v>51.666666666666671</v>
      </c>
    </row>
    <row r="11" spans="2:14" ht="13.5" customHeight="1" x14ac:dyDescent="0.2">
      <c r="B11" s="19" t="s">
        <v>363</v>
      </c>
      <c r="C11" s="21">
        <f>-WC!C$12</f>
        <v>-128.961082236842</v>
      </c>
      <c r="D11" s="21">
        <f>-WC!D$12</f>
        <v>-58.196591802711282</v>
      </c>
      <c r="E11" s="21">
        <f>-WC!E$12</f>
        <v>-62.471272689605939</v>
      </c>
      <c r="F11" s="21">
        <f>-WC!F$12</f>
        <v>-68.390110913828494</v>
      </c>
      <c r="G11" s="21">
        <f>-WC!G$12</f>
        <v>-74.729646018674885</v>
      </c>
      <c r="H11" s="21">
        <f>-WC!H$12</f>
        <v>-81.033673091343644</v>
      </c>
      <c r="I11" s="21">
        <f>-WC!I$12</f>
        <v>-87.30240612771081</v>
      </c>
      <c r="J11" s="21">
        <f>-WC!J$12</f>
        <v>-93.536057840032299</v>
      </c>
      <c r="K11" s="21">
        <f>-WC!K$12</f>
        <v>-99.734839664645961</v>
      </c>
      <c r="L11" s="21">
        <f>-WC!L$12</f>
        <v>-105.89896176962634</v>
      </c>
      <c r="M11" s="21">
        <f>-WC!M$12</f>
        <v>-112.02863306239647</v>
      </c>
      <c r="N11" s="21">
        <f>-WC!N$12</f>
        <v>-118.12406119728962</v>
      </c>
    </row>
    <row r="12" spans="2:14" ht="13.5" customHeight="1" x14ac:dyDescent="0.2">
      <c r="B12" s="19" t="s">
        <v>364</v>
      </c>
      <c r="C12" s="21">
        <f>-WC!C$24</f>
        <v>98</v>
      </c>
      <c r="D12" s="21">
        <f>-WC!D$24</f>
        <v>0</v>
      </c>
      <c r="E12" s="21">
        <f>-WC!E$24</f>
        <v>0</v>
      </c>
      <c r="F12" s="21">
        <f>-WC!F$24</f>
        <v>0</v>
      </c>
      <c r="G12" s="21">
        <f>-WC!G$24</f>
        <v>0</v>
      </c>
      <c r="H12" s="21">
        <f>-WC!H$24</f>
        <v>0</v>
      </c>
      <c r="I12" s="21">
        <f>-WC!I$24</f>
        <v>0</v>
      </c>
      <c r="J12" s="21">
        <f>-WC!J$24</f>
        <v>0</v>
      </c>
      <c r="K12" s="21">
        <f>-WC!K$24</f>
        <v>0</v>
      </c>
      <c r="L12" s="21">
        <f>-WC!L$24</f>
        <v>0</v>
      </c>
      <c r="M12" s="21">
        <f>-WC!M$24</f>
        <v>0</v>
      </c>
      <c r="N12" s="21">
        <f>-WC!N$24</f>
        <v>0</v>
      </c>
    </row>
    <row r="13" spans="2:14" ht="13.5" customHeight="1" x14ac:dyDescent="0.2">
      <c r="B13" s="19" t="s">
        <v>365</v>
      </c>
      <c r="C13" s="21">
        <f>WC!C$18</f>
        <v>-131.23999907894739</v>
      </c>
      <c r="D13" s="21">
        <f>WC!D$18</f>
        <v>7.3826297005358867</v>
      </c>
      <c r="E13" s="21">
        <f>WC!E$18</f>
        <v>8.1125801682790524</v>
      </c>
      <c r="F13" s="21">
        <f>WC!F$18</f>
        <v>9.0372112859730578</v>
      </c>
      <c r="G13" s="21">
        <f>WC!G$18</f>
        <v>9.7929731106967779</v>
      </c>
      <c r="H13" s="21">
        <f>WC!H$18</f>
        <v>10.544503865886327</v>
      </c>
      <c r="I13" s="21">
        <f>WC!I$18</f>
        <v>11.291829051680793</v>
      </c>
      <c r="J13" s="21">
        <f>WC!J$18</f>
        <v>12.034974015261298</v>
      </c>
      <c r="K13" s="21">
        <f>WC!K$18</f>
        <v>12.77396395176811</v>
      </c>
      <c r="L13" s="21">
        <f>WC!L$18</f>
        <v>13.508823905213745</v>
      </c>
      <c r="M13" s="21">
        <f>WC!M$18</f>
        <v>14.239578769388999</v>
      </c>
      <c r="N13" s="21">
        <f>WC!N$18</f>
        <v>14.96625328876479</v>
      </c>
    </row>
    <row r="14" spans="2:14" ht="13.5" customHeight="1" x14ac:dyDescent="0.2">
      <c r="B14" s="19" t="s">
        <v>366</v>
      </c>
      <c r="C14" s="21">
        <f>WC!C$30</f>
        <v>-85.721125000000001</v>
      </c>
      <c r="D14" s="21">
        <f>WC!D$30</f>
        <v>3.5470767500000164</v>
      </c>
      <c r="E14" s="21">
        <f>WC!E$30</f>
        <v>3.5257942894999843</v>
      </c>
      <c r="F14" s="21">
        <f>WC!F$30</f>
        <v>3.5046395237630179</v>
      </c>
      <c r="G14" s="21">
        <f>WC!G$30</f>
        <v>3.483611686620435</v>
      </c>
      <c r="H14" s="21">
        <f>WC!H$30</f>
        <v>3.4627100165006368</v>
      </c>
      <c r="I14" s="21">
        <f>WC!I$30</f>
        <v>3.4419337564017383</v>
      </c>
      <c r="J14" s="21">
        <f>WC!J$30</f>
        <v>3.4212821538632738</v>
      </c>
      <c r="K14" s="21">
        <f>WC!K$30</f>
        <v>3.4007544609401066</v>
      </c>
      <c r="L14" s="21">
        <f>WC!L$30</f>
        <v>3.3803499341744327</v>
      </c>
      <c r="M14" s="21">
        <f>WC!M$30</f>
        <v>3.3600678345694632</v>
      </c>
      <c r="N14" s="21">
        <f>WC!N$30</f>
        <v>3.3399074275619967</v>
      </c>
    </row>
    <row r="15" spans="2:14" ht="13.5" customHeight="1" x14ac:dyDescent="0.2">
      <c r="B15" s="19" t="s">
        <v>367</v>
      </c>
      <c r="C15" s="21">
        <f>WC!C$37</f>
        <v>451.11000000000013</v>
      </c>
      <c r="D15" s="21">
        <f>WC!D$37</f>
        <v>438.22833999999966</v>
      </c>
      <c r="E15" s="21">
        <f>WC!E$37</f>
        <v>436.71058738358306</v>
      </c>
      <c r="F15" s="21">
        <f>WC!F$37</f>
        <v>445.27405976368755</v>
      </c>
      <c r="G15" s="21">
        <f>WC!G$37</f>
        <v>449.22767000522799</v>
      </c>
      <c r="H15" s="21">
        <f>WC!H$37</f>
        <v>448.59736921809144</v>
      </c>
      <c r="I15" s="21">
        <f>WC!I$37</f>
        <v>443.40895216549325</v>
      </c>
      <c r="J15" s="21">
        <f>WC!J$37</f>
        <v>433.68805820182115</v>
      </c>
      <c r="K15" s="21">
        <f>WC!K$37</f>
        <v>419.460172204841</v>
      </c>
      <c r="L15" s="21">
        <f>WC!L$37</f>
        <v>400.75062550232724</v>
      </c>
      <c r="M15" s="21">
        <f>WC!M$37</f>
        <v>377.58459679311181</v>
      </c>
      <c r="N15" s="21">
        <f>WC!N$37</f>
        <v>349.98711306262248</v>
      </c>
    </row>
    <row r="16" spans="2:14" ht="13.5" customHeight="1" x14ac:dyDescent="0.2">
      <c r="B16" s="22" t="s">
        <v>368</v>
      </c>
      <c r="C16" s="23">
        <f t="shared" ref="C16:N16" si="0">SUM(C9:C15)</f>
        <v>-442.21293724912266</v>
      </c>
      <c r="D16" s="23">
        <f t="shared" si="0"/>
        <v>-257.74274430866512</v>
      </c>
      <c r="E16" s="23">
        <f t="shared" si="0"/>
        <v>-263.76905194216636</v>
      </c>
      <c r="F16" s="23">
        <f t="shared" si="0"/>
        <v>-257.8903914021796</v>
      </c>
      <c r="G16" s="23">
        <f t="shared" si="0"/>
        <v>-253.48388436366554</v>
      </c>
      <c r="H16" s="23">
        <f t="shared" si="0"/>
        <v>-249.92369917690905</v>
      </c>
      <c r="I16" s="23">
        <f t="shared" si="0"/>
        <v>-247.20506587029035</v>
      </c>
      <c r="J16" s="23">
        <f t="shared" si="0"/>
        <v>-245.32324320740622</v>
      </c>
      <c r="K16" s="23">
        <f t="shared" si="0"/>
        <v>-244.27351851471508</v>
      </c>
      <c r="L16" s="23">
        <f t="shared" si="0"/>
        <v>-244.05120751018751</v>
      </c>
      <c r="M16" s="23">
        <f t="shared" si="0"/>
        <v>-244.65165413301452</v>
      </c>
      <c r="N16" s="23">
        <f t="shared" si="0"/>
        <v>-246.07023037431679</v>
      </c>
    </row>
    <row r="17" spans="2:14" ht="13.5" customHeight="1" x14ac:dyDescent="0.2">
      <c r="B17" s="19" t="s">
        <v>369</v>
      </c>
      <c r="C17" s="21">
        <f>WC!C$42</f>
        <v>203.18779368421073</v>
      </c>
      <c r="D17" s="21">
        <f>WC!D$42</f>
        <v>390.96145464782427</v>
      </c>
      <c r="E17" s="21">
        <f>WC!E$42</f>
        <v>385.87768915175616</v>
      </c>
      <c r="F17" s="21">
        <f>WC!F$42</f>
        <v>389.4257996595951</v>
      </c>
      <c r="G17" s="21">
        <f>WC!G$42</f>
        <v>387.77460878387035</v>
      </c>
      <c r="H17" s="21">
        <f>WC!H$42</f>
        <v>381.57091000913476</v>
      </c>
      <c r="I17" s="21">
        <f>WC!I$42</f>
        <v>370.84030884586497</v>
      </c>
      <c r="J17" s="21">
        <f>WC!J$42</f>
        <v>355.60825653091342</v>
      </c>
      <c r="K17" s="21">
        <f>WC!K$42</f>
        <v>335.90005095290326</v>
      </c>
      <c r="L17" s="21">
        <f>WC!L$42</f>
        <v>311.74083757208905</v>
      </c>
      <c r="M17" s="21">
        <f>WC!M$42</f>
        <v>283.15561033467384</v>
      </c>
      <c r="N17" s="21">
        <f>WC!N$42</f>
        <v>250.16921258165965</v>
      </c>
    </row>
    <row r="18" spans="2:14" ht="13.5" customHeight="1" x14ac:dyDescent="0.2">
      <c r="B18" s="19" t="s">
        <v>370</v>
      </c>
      <c r="C18" s="31">
        <f t="shared" ref="C18:N18" si="1">ROUND(C16-(C9+C10+C17),2)</f>
        <v>0</v>
      </c>
      <c r="D18" s="31">
        <f t="shared" si="1"/>
        <v>0</v>
      </c>
      <c r="E18" s="31">
        <f t="shared" si="1"/>
        <v>0</v>
      </c>
      <c r="F18" s="31">
        <f t="shared" si="1"/>
        <v>0</v>
      </c>
      <c r="G18" s="31">
        <f t="shared" si="1"/>
        <v>0</v>
      </c>
      <c r="H18" s="31">
        <f t="shared" si="1"/>
        <v>0</v>
      </c>
      <c r="I18" s="31">
        <f t="shared" si="1"/>
        <v>0</v>
      </c>
      <c r="J18" s="31">
        <f t="shared" si="1"/>
        <v>0</v>
      </c>
      <c r="K18" s="31">
        <f t="shared" si="1"/>
        <v>0</v>
      </c>
      <c r="L18" s="31">
        <f t="shared" si="1"/>
        <v>0</v>
      </c>
      <c r="M18" s="31">
        <f t="shared" si="1"/>
        <v>0</v>
      </c>
      <c r="N18" s="31">
        <f t="shared" si="1"/>
        <v>0</v>
      </c>
    </row>
    <row r="19" spans="2:14" ht="13.5" customHeight="1" x14ac:dyDescent="0.2">
      <c r="B19" s="19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2:14" ht="13.5" customHeight="1" x14ac:dyDescent="0.2">
      <c r="B20" s="66" t="s">
        <v>371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8"/>
    </row>
    <row r="21" spans="2:14" ht="13.5" customHeight="1" x14ac:dyDescent="0.2">
      <c r="B21" s="19" t="s">
        <v>372</v>
      </c>
      <c r="C21" s="21">
        <f>-'FA &amp; D&amp;A'!C$10</f>
        <v>-80</v>
      </c>
      <c r="D21" s="21">
        <f>-'FA &amp; D&amp;A'!D$10</f>
        <v>-80</v>
      </c>
      <c r="E21" s="21">
        <f>-'FA &amp; D&amp;A'!E$10</f>
        <v>-80</v>
      </c>
      <c r="F21" s="21">
        <f>-'FA &amp; D&amp;A'!F$10</f>
        <v>-80</v>
      </c>
      <c r="G21" s="21">
        <f>-'FA &amp; D&amp;A'!G$10</f>
        <v>-80</v>
      </c>
      <c r="H21" s="21">
        <f>-'FA &amp; D&amp;A'!H$10</f>
        <v>-80</v>
      </c>
      <c r="I21" s="21">
        <f>-'FA &amp; D&amp;A'!I$10</f>
        <v>-80</v>
      </c>
      <c r="J21" s="21">
        <f>-'FA &amp; D&amp;A'!J$10</f>
        <v>-80</v>
      </c>
      <c r="K21" s="21">
        <f>-'FA &amp; D&amp;A'!K$10</f>
        <v>-80</v>
      </c>
      <c r="L21" s="21">
        <f>-'FA &amp; D&amp;A'!L$10</f>
        <v>-80</v>
      </c>
      <c r="M21" s="21">
        <f>-'FA &amp; D&amp;A'!M$10</f>
        <v>-80</v>
      </c>
      <c r="N21" s="21">
        <f>-'FA &amp; D&amp;A'!N$10</f>
        <v>-80</v>
      </c>
    </row>
    <row r="22" spans="2:14" ht="13.5" customHeight="1" x14ac:dyDescent="0.2">
      <c r="B22" s="22" t="s">
        <v>373</v>
      </c>
      <c r="C22" s="23">
        <f t="shared" ref="C22:N22" si="2">C21</f>
        <v>-80</v>
      </c>
      <c r="D22" s="23">
        <f t="shared" si="2"/>
        <v>-80</v>
      </c>
      <c r="E22" s="23">
        <f t="shared" si="2"/>
        <v>-80</v>
      </c>
      <c r="F22" s="23">
        <f t="shared" si="2"/>
        <v>-80</v>
      </c>
      <c r="G22" s="23">
        <f t="shared" si="2"/>
        <v>-80</v>
      </c>
      <c r="H22" s="23">
        <f t="shared" si="2"/>
        <v>-80</v>
      </c>
      <c r="I22" s="23">
        <f t="shared" si="2"/>
        <v>-80</v>
      </c>
      <c r="J22" s="23">
        <f t="shared" si="2"/>
        <v>-80</v>
      </c>
      <c r="K22" s="23">
        <f t="shared" si="2"/>
        <v>-80</v>
      </c>
      <c r="L22" s="23">
        <f t="shared" si="2"/>
        <v>-80</v>
      </c>
      <c r="M22" s="23">
        <f t="shared" si="2"/>
        <v>-80</v>
      </c>
      <c r="N22" s="23">
        <f t="shared" si="2"/>
        <v>-80</v>
      </c>
    </row>
    <row r="23" spans="2:14" ht="13.5" customHeight="1" x14ac:dyDescent="0.2">
      <c r="B23" s="1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2:14" ht="13.5" customHeight="1" x14ac:dyDescent="0.2">
      <c r="B24" s="66" t="s">
        <v>374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8"/>
    </row>
    <row r="25" spans="2:14" ht="13.5" customHeight="1" x14ac:dyDescent="0.2">
      <c r="B25" s="19" t="s">
        <v>309</v>
      </c>
      <c r="C25" s="21">
        <f>'Fin, Tax &amp; Equity'!C$10</f>
        <v>0</v>
      </c>
      <c r="D25" s="21">
        <f>'Fin, Tax &amp; Equity'!D$10</f>
        <v>0</v>
      </c>
      <c r="E25" s="21">
        <f>'Fin, Tax &amp; Equity'!E$10</f>
        <v>0</v>
      </c>
      <c r="F25" s="21">
        <f>'Fin, Tax &amp; Equity'!F$10</f>
        <v>0</v>
      </c>
      <c r="G25" s="21">
        <f>'Fin, Tax &amp; Equity'!G$10</f>
        <v>0</v>
      </c>
      <c r="H25" s="21">
        <f>'Fin, Tax &amp; Equity'!H$10</f>
        <v>0</v>
      </c>
      <c r="I25" s="21">
        <f>'Fin, Tax &amp; Equity'!I$10</f>
        <v>0</v>
      </c>
      <c r="J25" s="21">
        <f>'Fin, Tax &amp; Equity'!J$10</f>
        <v>0</v>
      </c>
      <c r="K25" s="21">
        <f>'Fin, Tax &amp; Equity'!K$10</f>
        <v>0</v>
      </c>
      <c r="L25" s="21">
        <f>'Fin, Tax &amp; Equity'!L$10</f>
        <v>0</v>
      </c>
      <c r="M25" s="21">
        <f>'Fin, Tax &amp; Equity'!M$10</f>
        <v>0</v>
      </c>
      <c r="N25" s="21">
        <f>'Fin, Tax &amp; Equity'!N$10</f>
        <v>0</v>
      </c>
    </row>
    <row r="26" spans="2:14" ht="13.5" customHeight="1" x14ac:dyDescent="0.2">
      <c r="B26" s="19" t="s">
        <v>375</v>
      </c>
      <c r="C26" s="21">
        <f>-'Fin, Tax &amp; Equity'!C$11</f>
        <v>-50</v>
      </c>
      <c r="D26" s="21">
        <f>-'Fin, Tax &amp; Equity'!D$11</f>
        <v>-50</v>
      </c>
      <c r="E26" s="21">
        <f>-'Fin, Tax &amp; Equity'!E$11</f>
        <v>-50</v>
      </c>
      <c r="F26" s="21">
        <f>-'Fin, Tax &amp; Equity'!F$11</f>
        <v>-50</v>
      </c>
      <c r="G26" s="21">
        <f>-'Fin, Tax &amp; Equity'!G$11</f>
        <v>-50</v>
      </c>
      <c r="H26" s="21">
        <f>-'Fin, Tax &amp; Equity'!H$11</f>
        <v>-50</v>
      </c>
      <c r="I26" s="21">
        <f>-'Fin, Tax &amp; Equity'!I$11</f>
        <v>-50</v>
      </c>
      <c r="J26" s="21">
        <f>-'Fin, Tax &amp; Equity'!J$11</f>
        <v>-50</v>
      </c>
      <c r="K26" s="21">
        <f>-'Fin, Tax &amp; Equity'!K$11</f>
        <v>-50</v>
      </c>
      <c r="L26" s="21">
        <f>-'Fin, Tax &amp; Equity'!L$11</f>
        <v>-50</v>
      </c>
      <c r="M26" s="21">
        <f>-'Fin, Tax &amp; Equity'!M$11</f>
        <v>-50</v>
      </c>
      <c r="N26" s="21">
        <f>-'Fin, Tax &amp; Equity'!N$11</f>
        <v>-50</v>
      </c>
    </row>
    <row r="27" spans="2:14" ht="13.5" customHeight="1" x14ac:dyDescent="0.2">
      <c r="B27" s="19" t="s">
        <v>320</v>
      </c>
      <c r="C27" s="21">
        <f>'Fin, Tax &amp; Equity'!C$25</f>
        <v>0</v>
      </c>
      <c r="D27" s="21">
        <f>'Fin, Tax &amp; Equity'!D$25</f>
        <v>0</v>
      </c>
      <c r="E27" s="21">
        <f>'Fin, Tax &amp; Equity'!E$25</f>
        <v>0</v>
      </c>
      <c r="F27" s="21">
        <f>'Fin, Tax &amp; Equity'!F$25</f>
        <v>0</v>
      </c>
      <c r="G27" s="21">
        <f>'Fin, Tax &amp; Equity'!G$25</f>
        <v>0</v>
      </c>
      <c r="H27" s="21">
        <f>'Fin, Tax &amp; Equity'!H$25</f>
        <v>0</v>
      </c>
      <c r="I27" s="21">
        <f>'Fin, Tax &amp; Equity'!I$25</f>
        <v>0</v>
      </c>
      <c r="J27" s="21">
        <f>'Fin, Tax &amp; Equity'!J$25</f>
        <v>0</v>
      </c>
      <c r="K27" s="21">
        <f>'Fin, Tax &amp; Equity'!K$25</f>
        <v>0</v>
      </c>
      <c r="L27" s="21">
        <f>'Fin, Tax &amp; Equity'!L$25</f>
        <v>0</v>
      </c>
      <c r="M27" s="21">
        <f>'Fin, Tax &amp; Equity'!M$25</f>
        <v>0</v>
      </c>
      <c r="N27" s="21">
        <f>'Fin, Tax &amp; Equity'!N$25</f>
        <v>0</v>
      </c>
    </row>
    <row r="28" spans="2:14" ht="13.5" customHeight="1" x14ac:dyDescent="0.2">
      <c r="B28" s="19" t="s">
        <v>326</v>
      </c>
      <c r="C28" s="21">
        <f>-'Fin, Tax &amp; Equity'!C$32</f>
        <v>0</v>
      </c>
      <c r="D28" s="21">
        <f>-'Fin, Tax &amp; Equity'!D$32</f>
        <v>0</v>
      </c>
      <c r="E28" s="21">
        <f>-'Fin, Tax &amp; Equity'!E$32</f>
        <v>0</v>
      </c>
      <c r="F28" s="21">
        <f>-'Fin, Tax &amp; Equity'!F$32</f>
        <v>0</v>
      </c>
      <c r="G28" s="21">
        <f>-'Fin, Tax &amp; Equity'!G$32</f>
        <v>0</v>
      </c>
      <c r="H28" s="21">
        <f>-'Fin, Tax &amp; Equity'!H$32</f>
        <v>0</v>
      </c>
      <c r="I28" s="21">
        <f>-'Fin, Tax &amp; Equity'!I$32</f>
        <v>0</v>
      </c>
      <c r="J28" s="21">
        <f>-'Fin, Tax &amp; Equity'!J$32</f>
        <v>0</v>
      </c>
      <c r="K28" s="21">
        <f>-'Fin, Tax &amp; Equity'!K$32</f>
        <v>0</v>
      </c>
      <c r="L28" s="21">
        <f>-'Fin, Tax &amp; Equity'!L$32</f>
        <v>0</v>
      </c>
      <c r="M28" s="21">
        <f>-'Fin, Tax &amp; Equity'!M$32</f>
        <v>0</v>
      </c>
      <c r="N28" s="21">
        <f>-'Fin, Tax &amp; Equity'!N$32</f>
        <v>0</v>
      </c>
    </row>
    <row r="29" spans="2:14" ht="13.5" customHeight="1" x14ac:dyDescent="0.2">
      <c r="B29" s="22" t="s">
        <v>376</v>
      </c>
      <c r="C29" s="23">
        <f t="shared" ref="C29:N29" si="3">SUM(C25:C28)</f>
        <v>-50</v>
      </c>
      <c r="D29" s="23">
        <f t="shared" si="3"/>
        <v>-50</v>
      </c>
      <c r="E29" s="23">
        <f t="shared" si="3"/>
        <v>-50</v>
      </c>
      <c r="F29" s="23">
        <f t="shared" si="3"/>
        <v>-50</v>
      </c>
      <c r="G29" s="23">
        <f t="shared" si="3"/>
        <v>-50</v>
      </c>
      <c r="H29" s="23">
        <f t="shared" si="3"/>
        <v>-50</v>
      </c>
      <c r="I29" s="23">
        <f t="shared" si="3"/>
        <v>-50</v>
      </c>
      <c r="J29" s="23">
        <f t="shared" si="3"/>
        <v>-50</v>
      </c>
      <c r="K29" s="23">
        <f t="shared" si="3"/>
        <v>-50</v>
      </c>
      <c r="L29" s="23">
        <f t="shared" si="3"/>
        <v>-50</v>
      </c>
      <c r="M29" s="23">
        <f t="shared" si="3"/>
        <v>-50</v>
      </c>
      <c r="N29" s="23">
        <f t="shared" si="3"/>
        <v>-50</v>
      </c>
    </row>
    <row r="30" spans="2:14" ht="13.5" customHeight="1" x14ac:dyDescent="0.2">
      <c r="B30" s="1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</row>
    <row r="31" spans="2:14" ht="13.5" customHeight="1" x14ac:dyDescent="0.2">
      <c r="B31" s="66" t="s">
        <v>377</v>
      </c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8"/>
    </row>
    <row r="32" spans="2:14" ht="13.5" customHeight="1" x14ac:dyDescent="0.2">
      <c r="B32" s="19" t="s">
        <v>378</v>
      </c>
      <c r="C32" s="31">
        <f t="shared" ref="C32:N32" si="4">SUM(C16,C22,C29)</f>
        <v>-572.21293724912266</v>
      </c>
      <c r="D32" s="31">
        <f t="shared" si="4"/>
        <v>-387.74274430866512</v>
      </c>
      <c r="E32" s="31">
        <f t="shared" si="4"/>
        <v>-393.76905194216636</v>
      </c>
      <c r="F32" s="31">
        <f t="shared" si="4"/>
        <v>-387.8903914021796</v>
      </c>
      <c r="G32" s="31">
        <f t="shared" si="4"/>
        <v>-383.48388436366554</v>
      </c>
      <c r="H32" s="31">
        <f t="shared" si="4"/>
        <v>-379.92369917690905</v>
      </c>
      <c r="I32" s="31">
        <f t="shared" si="4"/>
        <v>-377.20506587029035</v>
      </c>
      <c r="J32" s="31">
        <f t="shared" si="4"/>
        <v>-375.32324320740622</v>
      </c>
      <c r="K32" s="31">
        <f t="shared" si="4"/>
        <v>-374.27351851471508</v>
      </c>
      <c r="L32" s="31">
        <f t="shared" si="4"/>
        <v>-374.05120751018751</v>
      </c>
      <c r="M32" s="31">
        <f t="shared" si="4"/>
        <v>-374.65165413301452</v>
      </c>
      <c r="N32" s="31">
        <f t="shared" si="4"/>
        <v>-376.07023037431679</v>
      </c>
    </row>
    <row r="33" spans="2:14" ht="13.5" customHeight="1" x14ac:dyDescent="0.2">
      <c r="B33" s="19" t="s">
        <v>379</v>
      </c>
      <c r="C33" s="21">
        <f>Assumptions!$F$51</f>
        <v>5000</v>
      </c>
      <c r="D33" s="31">
        <f t="shared" ref="D33:N33" si="5">C34</f>
        <v>4427.7870627508773</v>
      </c>
      <c r="E33" s="31">
        <f t="shared" si="5"/>
        <v>4040.044318442212</v>
      </c>
      <c r="F33" s="31">
        <f t="shared" si="5"/>
        <v>3646.2752665000457</v>
      </c>
      <c r="G33" s="31">
        <f t="shared" si="5"/>
        <v>3258.3848750978659</v>
      </c>
      <c r="H33" s="31">
        <f t="shared" si="5"/>
        <v>2874.9009907342006</v>
      </c>
      <c r="I33" s="31">
        <f t="shared" si="5"/>
        <v>2494.9772915572917</v>
      </c>
      <c r="J33" s="31">
        <f t="shared" si="5"/>
        <v>2117.7722256870011</v>
      </c>
      <c r="K33" s="31">
        <f t="shared" si="5"/>
        <v>1742.4489824795949</v>
      </c>
      <c r="L33" s="31">
        <f t="shared" si="5"/>
        <v>1368.1754639648798</v>
      </c>
      <c r="M33" s="31">
        <f t="shared" si="5"/>
        <v>994.12425645469227</v>
      </c>
      <c r="N33" s="31">
        <f t="shared" si="5"/>
        <v>619.47260232167775</v>
      </c>
    </row>
    <row r="34" spans="2:14" ht="13.5" customHeight="1" x14ac:dyDescent="0.2">
      <c r="B34" s="22" t="s">
        <v>380</v>
      </c>
      <c r="C34" s="23">
        <f t="shared" ref="C34:N34" si="6">C33+C32</f>
        <v>4427.7870627508773</v>
      </c>
      <c r="D34" s="23">
        <f t="shared" si="6"/>
        <v>4040.044318442212</v>
      </c>
      <c r="E34" s="23">
        <f t="shared" si="6"/>
        <v>3646.2752665000457</v>
      </c>
      <c r="F34" s="23">
        <f t="shared" si="6"/>
        <v>3258.3848750978659</v>
      </c>
      <c r="G34" s="23">
        <f t="shared" si="6"/>
        <v>2874.9009907342006</v>
      </c>
      <c r="H34" s="23">
        <f t="shared" si="6"/>
        <v>2494.9772915572917</v>
      </c>
      <c r="I34" s="23">
        <f t="shared" si="6"/>
        <v>2117.7722256870011</v>
      </c>
      <c r="J34" s="23">
        <f t="shared" si="6"/>
        <v>1742.4489824795949</v>
      </c>
      <c r="K34" s="23">
        <f t="shared" si="6"/>
        <v>1368.1754639648798</v>
      </c>
      <c r="L34" s="23">
        <f t="shared" si="6"/>
        <v>994.12425645469227</v>
      </c>
      <c r="M34" s="23">
        <f t="shared" si="6"/>
        <v>619.47260232167775</v>
      </c>
      <c r="N34" s="23">
        <f t="shared" si="6"/>
        <v>243.40237194736096</v>
      </c>
    </row>
    <row r="35" spans="2:14" ht="13.5" customHeight="1" x14ac:dyDescent="0.2">
      <c r="B35" s="19" t="s">
        <v>381</v>
      </c>
      <c r="C35" s="31">
        <f t="shared" ref="C35:N35" si="7">ROUND(C34-(C33+C32),2)</f>
        <v>0</v>
      </c>
      <c r="D35" s="31">
        <f t="shared" si="7"/>
        <v>0</v>
      </c>
      <c r="E35" s="31">
        <f t="shared" si="7"/>
        <v>0</v>
      </c>
      <c r="F35" s="31">
        <f t="shared" si="7"/>
        <v>0</v>
      </c>
      <c r="G35" s="31">
        <f t="shared" si="7"/>
        <v>0</v>
      </c>
      <c r="H35" s="31">
        <f t="shared" si="7"/>
        <v>0</v>
      </c>
      <c r="I35" s="31">
        <f t="shared" si="7"/>
        <v>0</v>
      </c>
      <c r="J35" s="31">
        <f t="shared" si="7"/>
        <v>0</v>
      </c>
      <c r="K35" s="31">
        <f t="shared" si="7"/>
        <v>0</v>
      </c>
      <c r="L35" s="31">
        <f t="shared" si="7"/>
        <v>0</v>
      </c>
      <c r="M35" s="31">
        <f t="shared" si="7"/>
        <v>0</v>
      </c>
      <c r="N35" s="31">
        <f t="shared" si="7"/>
        <v>0</v>
      </c>
    </row>
    <row r="36" spans="2:14" ht="13.5" customHeight="1" x14ac:dyDescent="0.2">
      <c r="B36" s="19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2:14" ht="13.5" customHeight="1" x14ac:dyDescent="0.2"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2:14" ht="13.5" customHeight="1" x14ac:dyDescent="0.2"/>
    <row r="39" spans="2:14" ht="13.5" customHeight="1" x14ac:dyDescent="0.2"/>
    <row r="40" spans="2:14" ht="13.5" customHeight="1" x14ac:dyDescent="0.2"/>
    <row r="41" spans="2:14" ht="13.5" customHeight="1" x14ac:dyDescent="0.2"/>
    <row r="42" spans="2:14" ht="13.5" customHeight="1" x14ac:dyDescent="0.2"/>
    <row r="43" spans="2:14" ht="13.5" customHeight="1" x14ac:dyDescent="0.2"/>
    <row r="44" spans="2:14" ht="13.5" customHeight="1" x14ac:dyDescent="0.2"/>
    <row r="45" spans="2:14" ht="13.5" customHeight="1" x14ac:dyDescent="0.2"/>
    <row r="46" spans="2:14" ht="13.5" customHeight="1" x14ac:dyDescent="0.2"/>
    <row r="47" spans="2:14" ht="13.5" customHeight="1" x14ac:dyDescent="0.2"/>
    <row r="48" spans="2:14" ht="13.5" customHeight="1" x14ac:dyDescent="0.2"/>
    <row r="49" s="51" customFormat="1" ht="13.5" customHeight="1" x14ac:dyDescent="0.2"/>
    <row r="50" s="51" customFormat="1" ht="13.5" customHeight="1" x14ac:dyDescent="0.2"/>
    <row r="51" s="51" customFormat="1" ht="13.5" customHeight="1" x14ac:dyDescent="0.2"/>
    <row r="52" s="51" customFormat="1" ht="13.5" customHeight="1" x14ac:dyDescent="0.2"/>
    <row r="53" s="51" customFormat="1" ht="13.5" customHeight="1" x14ac:dyDescent="0.2"/>
    <row r="54" s="51" customFormat="1" ht="13.5" customHeight="1" x14ac:dyDescent="0.2"/>
    <row r="55" s="51" customFormat="1" ht="13.5" customHeight="1" x14ac:dyDescent="0.2"/>
    <row r="56" s="51" customFormat="1" ht="13.5" customHeight="1" x14ac:dyDescent="0.2"/>
    <row r="57" s="51" customFormat="1" ht="13.5" customHeight="1" x14ac:dyDescent="0.2"/>
    <row r="58" s="51" customFormat="1" ht="13.5" customHeight="1" x14ac:dyDescent="0.2"/>
    <row r="59" s="51" customFormat="1" ht="13.5" customHeight="1" x14ac:dyDescent="0.2"/>
    <row r="60" s="51" customFormat="1" ht="13.5" customHeight="1" x14ac:dyDescent="0.2"/>
    <row r="61" s="51" customFormat="1" ht="13.5" customHeight="1" x14ac:dyDescent="0.2"/>
    <row r="62" s="51" customFormat="1" ht="13.5" customHeight="1" x14ac:dyDescent="0.2"/>
    <row r="63" s="51" customFormat="1" ht="13.5" customHeight="1" x14ac:dyDescent="0.2"/>
    <row r="64" s="51" customFormat="1" ht="13.5" customHeight="1" x14ac:dyDescent="0.2"/>
    <row r="65" s="51" customFormat="1" ht="13.5" customHeight="1" x14ac:dyDescent="0.2"/>
    <row r="66" s="51" customFormat="1" ht="13.5" customHeight="1" x14ac:dyDescent="0.2"/>
    <row r="67" s="51" customFormat="1" ht="13.5" customHeight="1" x14ac:dyDescent="0.2"/>
    <row r="68" s="51" customFormat="1" ht="13.5" customHeight="1" x14ac:dyDescent="0.2"/>
    <row r="69" s="51" customFormat="1" ht="13.5" customHeight="1" x14ac:dyDescent="0.2"/>
    <row r="70" s="51" customFormat="1" ht="13.5" customHeight="1" x14ac:dyDescent="0.2"/>
    <row r="71" s="51" customFormat="1" ht="13.5" customHeight="1" x14ac:dyDescent="0.2"/>
    <row r="72" s="51" customFormat="1" ht="13.5" customHeight="1" x14ac:dyDescent="0.2"/>
    <row r="73" s="51" customFormat="1" ht="13.5" customHeight="1" x14ac:dyDescent="0.2"/>
    <row r="74" s="51" customFormat="1" ht="13.5" customHeight="1" x14ac:dyDescent="0.2"/>
    <row r="75" s="51" customFormat="1" ht="13.5" customHeight="1" x14ac:dyDescent="0.2"/>
    <row r="76" s="51" customFormat="1" ht="13.5" customHeight="1" x14ac:dyDescent="0.2"/>
    <row r="77" s="51" customFormat="1" ht="13.5" customHeight="1" x14ac:dyDescent="0.2"/>
    <row r="78" s="51" customFormat="1" ht="13.5" customHeight="1" x14ac:dyDescent="0.2"/>
    <row r="79" s="51" customFormat="1" ht="13.5" customHeight="1" x14ac:dyDescent="0.2"/>
    <row r="80" s="51" customFormat="1" ht="13.5" customHeight="1" x14ac:dyDescent="0.2"/>
    <row r="81" s="51" customFormat="1" ht="13.5" customHeight="1" x14ac:dyDescent="0.2"/>
    <row r="82" s="51" customFormat="1" ht="13.5" customHeight="1" x14ac:dyDescent="0.2"/>
    <row r="83" s="51" customFormat="1" ht="13.5" customHeight="1" x14ac:dyDescent="0.2"/>
    <row r="84" s="51" customFormat="1" ht="13.5" customHeight="1" x14ac:dyDescent="0.2"/>
    <row r="85" s="51" customFormat="1" ht="13.5" customHeight="1" x14ac:dyDescent="0.2"/>
    <row r="86" s="51" customFormat="1" ht="13.5" customHeight="1" x14ac:dyDescent="0.2"/>
    <row r="87" s="51" customFormat="1" ht="13.5" customHeight="1" x14ac:dyDescent="0.2"/>
    <row r="88" s="51" customFormat="1" ht="13.5" customHeight="1" x14ac:dyDescent="0.2"/>
    <row r="89" s="51" customFormat="1" ht="13.5" customHeight="1" x14ac:dyDescent="0.2"/>
    <row r="90" s="51" customFormat="1" ht="13.5" customHeight="1" x14ac:dyDescent="0.2"/>
    <row r="91" s="51" customFormat="1" ht="13.5" customHeight="1" x14ac:dyDescent="0.2"/>
    <row r="92" s="51" customFormat="1" ht="13.5" customHeight="1" x14ac:dyDescent="0.2"/>
    <row r="93" s="51" customFormat="1" ht="13.5" customHeight="1" x14ac:dyDescent="0.2"/>
    <row r="94" s="51" customFormat="1" ht="13.5" customHeight="1" x14ac:dyDescent="0.2"/>
    <row r="95" s="51" customFormat="1" ht="13.5" customHeight="1" x14ac:dyDescent="0.2"/>
    <row r="96" s="51" customFormat="1" ht="13.5" customHeight="1" x14ac:dyDescent="0.2"/>
    <row r="97" s="51" customFormat="1" ht="13.5" customHeight="1" x14ac:dyDescent="0.2"/>
    <row r="98" s="51" customFormat="1" ht="13.5" customHeight="1" x14ac:dyDescent="0.2"/>
    <row r="99" s="51" customFormat="1" ht="13.5" customHeight="1" x14ac:dyDescent="0.2"/>
    <row r="100" s="51" customFormat="1" ht="13.5" customHeight="1" x14ac:dyDescent="0.2"/>
    <row r="101" s="51" customFormat="1" ht="13.5" customHeight="1" x14ac:dyDescent="0.2"/>
    <row r="102" s="51" customFormat="1" ht="13.5" customHeight="1" x14ac:dyDescent="0.2"/>
    <row r="103" s="51" customFormat="1" ht="13.5" customHeight="1" x14ac:dyDescent="0.2"/>
    <row r="104" s="51" customFormat="1" ht="13.5" customHeight="1" x14ac:dyDescent="0.2"/>
    <row r="105" s="51" customFormat="1" ht="13.5" customHeight="1" x14ac:dyDescent="0.2"/>
    <row r="106" s="51" customFormat="1" ht="13.5" customHeight="1" x14ac:dyDescent="0.2"/>
    <row r="107" s="51" customFormat="1" ht="13.5" customHeight="1" x14ac:dyDescent="0.2"/>
    <row r="108" s="51" customFormat="1" ht="13.5" customHeight="1" x14ac:dyDescent="0.2"/>
    <row r="109" s="51" customFormat="1" ht="13.5" customHeight="1" x14ac:dyDescent="0.2"/>
    <row r="110" s="51" customFormat="1" ht="13.5" customHeight="1" x14ac:dyDescent="0.2"/>
    <row r="111" s="51" customFormat="1" ht="13.5" customHeight="1" x14ac:dyDescent="0.2"/>
    <row r="112" s="51" customFormat="1" ht="13.5" customHeight="1" x14ac:dyDescent="0.2"/>
    <row r="113" s="51" customFormat="1" ht="13.5" customHeight="1" x14ac:dyDescent="0.2"/>
    <row r="114" s="51" customFormat="1" ht="13.5" customHeight="1" x14ac:dyDescent="0.2"/>
    <row r="115" s="51" customFormat="1" ht="13.5" customHeight="1" x14ac:dyDescent="0.2"/>
    <row r="116" s="51" customFormat="1" ht="13.5" customHeight="1" x14ac:dyDescent="0.2"/>
    <row r="117" s="51" customFormat="1" ht="13.5" customHeight="1" x14ac:dyDescent="0.2"/>
    <row r="118" s="51" customFormat="1" ht="13.5" customHeight="1" x14ac:dyDescent="0.2"/>
    <row r="119" s="51" customFormat="1" ht="13.5" customHeight="1" x14ac:dyDescent="0.2"/>
    <row r="120" s="51" customFormat="1" ht="13.5" customHeight="1" x14ac:dyDescent="0.2"/>
    <row r="121" s="51" customFormat="1" ht="13.5" customHeight="1" x14ac:dyDescent="0.2"/>
    <row r="122" s="51" customFormat="1" ht="13.5" customHeight="1" x14ac:dyDescent="0.2"/>
    <row r="123" s="51" customFormat="1" ht="13.5" customHeight="1" x14ac:dyDescent="0.2"/>
    <row r="124" s="51" customFormat="1" ht="13.5" customHeight="1" x14ac:dyDescent="0.2"/>
    <row r="125" s="51" customFormat="1" ht="13.5" customHeight="1" x14ac:dyDescent="0.2"/>
    <row r="126" s="51" customFormat="1" ht="13.5" customHeight="1" x14ac:dyDescent="0.2"/>
    <row r="127" s="51" customFormat="1" ht="13.5" customHeight="1" x14ac:dyDescent="0.2"/>
    <row r="128" s="51" customFormat="1" ht="13.5" customHeight="1" x14ac:dyDescent="0.2"/>
    <row r="129" s="51" customFormat="1" ht="13.5" customHeight="1" x14ac:dyDescent="0.2"/>
    <row r="130" s="51" customFormat="1" ht="13.5" customHeight="1" x14ac:dyDescent="0.2"/>
    <row r="131" s="51" customFormat="1" ht="13.5" customHeight="1" x14ac:dyDescent="0.2"/>
    <row r="132" s="51" customFormat="1" ht="13.5" customHeight="1" x14ac:dyDescent="0.2"/>
    <row r="133" s="51" customFormat="1" ht="13.5" customHeight="1" x14ac:dyDescent="0.2"/>
    <row r="134" s="51" customFormat="1" ht="13.5" customHeight="1" x14ac:dyDescent="0.2"/>
    <row r="135" s="51" customFormat="1" ht="13.5" customHeight="1" x14ac:dyDescent="0.2"/>
    <row r="136" s="51" customFormat="1" ht="13.5" customHeight="1" x14ac:dyDescent="0.2"/>
    <row r="137" s="51" customFormat="1" ht="13.5" customHeight="1" x14ac:dyDescent="0.2"/>
    <row r="138" s="51" customFormat="1" ht="13.5" customHeight="1" x14ac:dyDescent="0.2"/>
    <row r="139" s="51" customFormat="1" ht="13.5" customHeight="1" x14ac:dyDescent="0.2"/>
    <row r="140" s="51" customFormat="1" ht="13.5" customHeight="1" x14ac:dyDescent="0.2"/>
    <row r="141" s="51" customFormat="1" ht="13.5" customHeight="1" x14ac:dyDescent="0.2"/>
    <row r="142" s="51" customFormat="1" ht="13.5" customHeight="1" x14ac:dyDescent="0.2"/>
    <row r="143" s="51" customFormat="1" ht="13.5" customHeight="1" x14ac:dyDescent="0.2"/>
    <row r="144" s="51" customFormat="1" ht="13.5" customHeight="1" x14ac:dyDescent="0.2"/>
    <row r="145" s="51" customFormat="1" ht="13.5" customHeight="1" x14ac:dyDescent="0.2"/>
    <row r="146" s="51" customFormat="1" ht="13.5" customHeight="1" x14ac:dyDescent="0.2"/>
    <row r="147" s="51" customFormat="1" ht="13.5" customHeight="1" x14ac:dyDescent="0.2"/>
    <row r="148" s="51" customFormat="1" ht="13.5" customHeight="1" x14ac:dyDescent="0.2"/>
    <row r="149" s="51" customFormat="1" ht="13.5" customHeight="1" x14ac:dyDescent="0.2"/>
    <row r="150" s="51" customFormat="1" ht="13.5" customHeight="1" x14ac:dyDescent="0.2"/>
    <row r="151" s="51" customFormat="1" ht="13.5" customHeight="1" x14ac:dyDescent="0.2"/>
    <row r="152" s="51" customFormat="1" ht="13.5" customHeight="1" x14ac:dyDescent="0.2"/>
    <row r="153" s="51" customFormat="1" ht="13.5" customHeight="1" x14ac:dyDescent="0.2"/>
    <row r="154" s="51" customFormat="1" ht="13.5" customHeight="1" x14ac:dyDescent="0.2"/>
    <row r="155" s="51" customFormat="1" ht="13.5" customHeight="1" x14ac:dyDescent="0.2"/>
    <row r="156" s="51" customFormat="1" ht="13.5" customHeight="1" x14ac:dyDescent="0.2"/>
    <row r="157" s="51" customFormat="1" ht="13.5" customHeight="1" x14ac:dyDescent="0.2"/>
    <row r="158" s="51" customFormat="1" ht="13.5" customHeight="1" x14ac:dyDescent="0.2"/>
    <row r="159" s="51" customFormat="1" ht="13.5" customHeight="1" x14ac:dyDescent="0.2"/>
    <row r="160" s="51" customFormat="1" ht="13.5" customHeight="1" x14ac:dyDescent="0.2"/>
    <row r="161" s="51" customFormat="1" ht="13.5" customHeight="1" x14ac:dyDescent="0.2"/>
    <row r="162" s="51" customFormat="1" ht="13.5" customHeight="1" x14ac:dyDescent="0.2"/>
    <row r="163" s="51" customFormat="1" ht="13.5" customHeight="1" x14ac:dyDescent="0.2"/>
    <row r="164" s="51" customFormat="1" ht="13.5" customHeight="1" x14ac:dyDescent="0.2"/>
    <row r="165" s="51" customFormat="1" ht="13.5" customHeight="1" x14ac:dyDescent="0.2"/>
    <row r="166" s="51" customFormat="1" ht="13.5" customHeight="1" x14ac:dyDescent="0.2"/>
    <row r="167" s="51" customFormat="1" ht="13.5" customHeight="1" x14ac:dyDescent="0.2"/>
    <row r="168" s="51" customFormat="1" ht="13.5" customHeight="1" x14ac:dyDescent="0.2"/>
    <row r="169" s="51" customFormat="1" ht="13.5" customHeight="1" x14ac:dyDescent="0.2"/>
    <row r="170" s="51" customFormat="1" ht="13.5" customHeight="1" x14ac:dyDescent="0.2"/>
    <row r="171" s="51" customFormat="1" ht="13.5" customHeight="1" x14ac:dyDescent="0.2"/>
    <row r="172" s="51" customFormat="1" ht="13.5" customHeight="1" x14ac:dyDescent="0.2"/>
    <row r="173" s="51" customFormat="1" ht="13.5" customHeight="1" x14ac:dyDescent="0.2"/>
    <row r="174" s="51" customFormat="1" ht="13.5" customHeight="1" x14ac:dyDescent="0.2"/>
    <row r="175" s="51" customFormat="1" ht="13.5" customHeight="1" x14ac:dyDescent="0.2"/>
    <row r="176" s="51" customFormat="1" ht="13.5" customHeight="1" x14ac:dyDescent="0.2"/>
    <row r="177" s="51" customFormat="1" ht="13.5" customHeight="1" x14ac:dyDescent="0.2"/>
    <row r="178" s="51" customFormat="1" ht="13.5" customHeight="1" x14ac:dyDescent="0.2"/>
    <row r="179" s="51" customFormat="1" ht="13.5" customHeight="1" x14ac:dyDescent="0.2"/>
    <row r="180" s="51" customFormat="1" ht="13.5" customHeight="1" x14ac:dyDescent="0.2"/>
    <row r="181" s="51" customFormat="1" ht="13.5" customHeight="1" x14ac:dyDescent="0.2"/>
    <row r="182" s="51" customFormat="1" ht="13.5" customHeight="1" x14ac:dyDescent="0.2"/>
    <row r="183" s="51" customFormat="1" ht="13.5" customHeight="1" x14ac:dyDescent="0.2"/>
    <row r="184" s="51" customFormat="1" ht="13.5" customHeight="1" x14ac:dyDescent="0.2"/>
    <row r="185" s="51" customFormat="1" ht="13.5" customHeight="1" x14ac:dyDescent="0.2"/>
    <row r="186" s="51" customFormat="1" ht="13.5" customHeight="1" x14ac:dyDescent="0.2"/>
    <row r="187" s="51" customFormat="1" ht="13.5" customHeight="1" x14ac:dyDescent="0.2"/>
    <row r="188" s="51" customFormat="1" ht="13.5" customHeight="1" x14ac:dyDescent="0.2"/>
    <row r="189" s="51" customFormat="1" ht="13.5" customHeight="1" x14ac:dyDescent="0.2"/>
    <row r="190" s="51" customFormat="1" ht="13.5" customHeight="1" x14ac:dyDescent="0.2"/>
    <row r="191" s="51" customFormat="1" ht="13.5" customHeight="1" x14ac:dyDescent="0.2"/>
    <row r="192" s="51" customFormat="1" ht="13.5" customHeight="1" x14ac:dyDescent="0.2"/>
    <row r="193" s="51" customFormat="1" ht="13.5" customHeight="1" x14ac:dyDescent="0.2"/>
    <row r="194" s="51" customFormat="1" ht="13.5" customHeight="1" x14ac:dyDescent="0.2"/>
    <row r="195" s="51" customFormat="1" ht="13.5" customHeight="1" x14ac:dyDescent="0.2"/>
    <row r="196" s="51" customFormat="1" ht="13.5" customHeight="1" x14ac:dyDescent="0.2"/>
    <row r="197" s="51" customFormat="1" ht="13.5" customHeight="1" x14ac:dyDescent="0.2"/>
    <row r="198" s="51" customFormat="1" ht="13.5" customHeight="1" x14ac:dyDescent="0.2"/>
    <row r="199" s="51" customFormat="1" ht="13.5" customHeight="1" x14ac:dyDescent="0.2"/>
    <row r="200" s="51" customFormat="1" ht="13.5" customHeight="1" x14ac:dyDescent="0.2"/>
    <row r="201" s="51" customFormat="1" ht="13.5" customHeight="1" x14ac:dyDescent="0.2"/>
    <row r="202" s="51" customFormat="1" ht="13.5" customHeight="1" x14ac:dyDescent="0.2"/>
    <row r="203" s="51" customFormat="1" ht="13.5" customHeight="1" x14ac:dyDescent="0.2"/>
    <row r="204" s="51" customFormat="1" ht="13.5" customHeight="1" x14ac:dyDescent="0.2"/>
    <row r="205" s="51" customFormat="1" ht="13.5" customHeight="1" x14ac:dyDescent="0.2"/>
    <row r="206" s="51" customFormat="1" ht="13.5" customHeight="1" x14ac:dyDescent="0.2"/>
    <row r="207" s="51" customFormat="1" ht="13.5" customHeight="1" x14ac:dyDescent="0.2"/>
    <row r="208" s="51" customFormat="1" ht="13.5" customHeight="1" x14ac:dyDescent="0.2"/>
    <row r="209" s="51" customFormat="1" ht="13.5" customHeight="1" x14ac:dyDescent="0.2"/>
    <row r="210" s="51" customFormat="1" ht="13.5" customHeight="1" x14ac:dyDescent="0.2"/>
    <row r="211" s="51" customFormat="1" ht="13.5" customHeight="1" x14ac:dyDescent="0.2"/>
    <row r="212" s="51" customFormat="1" ht="13.5" customHeight="1" x14ac:dyDescent="0.2"/>
    <row r="213" s="51" customFormat="1" ht="13.5" customHeight="1" x14ac:dyDescent="0.2"/>
    <row r="214" s="51" customFormat="1" ht="13.5" customHeight="1" x14ac:dyDescent="0.2"/>
    <row r="215" s="51" customFormat="1" ht="13.5" customHeight="1" x14ac:dyDescent="0.2"/>
    <row r="216" s="51" customFormat="1" ht="13.5" customHeight="1" x14ac:dyDescent="0.2"/>
    <row r="217" s="51" customFormat="1" ht="13.5" customHeight="1" x14ac:dyDescent="0.2"/>
    <row r="218" s="51" customFormat="1" ht="13.5" customHeight="1" x14ac:dyDescent="0.2"/>
    <row r="219" s="51" customFormat="1" ht="13.5" customHeight="1" x14ac:dyDescent="0.2"/>
    <row r="220" s="51" customFormat="1" ht="13.5" customHeight="1" x14ac:dyDescent="0.2"/>
    <row r="221" s="51" customFormat="1" ht="13.5" customHeight="1" x14ac:dyDescent="0.2"/>
    <row r="222" s="51" customFormat="1" ht="13.5" customHeight="1" x14ac:dyDescent="0.2"/>
    <row r="223" s="51" customFormat="1" ht="13.5" customHeight="1" x14ac:dyDescent="0.2"/>
    <row r="224" s="51" customFormat="1" ht="13.5" customHeight="1" x14ac:dyDescent="0.2"/>
    <row r="225" s="51" customFormat="1" ht="13.5" customHeight="1" x14ac:dyDescent="0.2"/>
    <row r="226" s="51" customFormat="1" ht="13.5" customHeight="1" x14ac:dyDescent="0.2"/>
    <row r="227" s="51" customFormat="1" ht="13.5" customHeight="1" x14ac:dyDescent="0.2"/>
    <row r="228" s="51" customFormat="1" ht="13.5" customHeight="1" x14ac:dyDescent="0.2"/>
    <row r="229" s="51" customFormat="1" ht="13.5" customHeight="1" x14ac:dyDescent="0.2"/>
    <row r="230" s="51" customFormat="1" ht="13.5" customHeight="1" x14ac:dyDescent="0.2"/>
    <row r="231" s="51" customFormat="1" ht="13.5" customHeight="1" x14ac:dyDescent="0.2"/>
    <row r="232" s="51" customFormat="1" ht="13.5" customHeight="1" x14ac:dyDescent="0.2"/>
    <row r="233" s="51" customFormat="1" ht="13.5" customHeight="1" x14ac:dyDescent="0.2"/>
    <row r="234" s="51" customFormat="1" ht="13.5" customHeight="1" x14ac:dyDescent="0.2"/>
    <row r="235" s="51" customFormat="1" ht="13.5" customHeight="1" x14ac:dyDescent="0.2"/>
    <row r="236" s="51" customFormat="1" ht="13.5" customHeight="1" x14ac:dyDescent="0.2"/>
    <row r="237" s="51" customFormat="1" ht="13.5" customHeight="1" x14ac:dyDescent="0.2"/>
    <row r="238" s="51" customFormat="1" ht="13.5" customHeight="1" x14ac:dyDescent="0.2"/>
    <row r="239" s="51" customFormat="1" ht="13.5" customHeight="1" x14ac:dyDescent="0.2"/>
    <row r="240" s="51" customFormat="1" ht="13.5" customHeight="1" x14ac:dyDescent="0.2"/>
    <row r="241" s="51" customFormat="1" ht="13.5" customHeight="1" x14ac:dyDescent="0.2"/>
    <row r="242" s="51" customFormat="1" ht="13.5" customHeight="1" x14ac:dyDescent="0.2"/>
    <row r="243" s="51" customFormat="1" ht="13.5" customHeight="1" x14ac:dyDescent="0.2"/>
    <row r="244" s="51" customFormat="1" ht="13.5" customHeight="1" x14ac:dyDescent="0.2"/>
    <row r="245" s="51" customFormat="1" ht="13.5" customHeight="1" x14ac:dyDescent="0.2"/>
    <row r="246" s="51" customFormat="1" ht="13.5" customHeight="1" x14ac:dyDescent="0.2"/>
    <row r="247" s="51" customFormat="1" ht="13.5" customHeight="1" x14ac:dyDescent="0.2"/>
    <row r="248" s="51" customFormat="1" ht="13.5" customHeight="1" x14ac:dyDescent="0.2"/>
    <row r="249" s="51" customFormat="1" ht="13.5" customHeight="1" x14ac:dyDescent="0.2"/>
    <row r="250" s="51" customFormat="1" ht="13.5" customHeight="1" x14ac:dyDescent="0.2"/>
    <row r="251" s="51" customFormat="1" ht="13.5" customHeight="1" x14ac:dyDescent="0.2"/>
    <row r="252" s="51" customFormat="1" ht="13.5" customHeight="1" x14ac:dyDescent="0.2"/>
    <row r="253" s="51" customFormat="1" ht="13.5" customHeight="1" x14ac:dyDescent="0.2"/>
    <row r="254" s="51" customFormat="1" ht="13.5" customHeight="1" x14ac:dyDescent="0.2"/>
    <row r="255" s="51" customFormat="1" ht="13.5" customHeight="1" x14ac:dyDescent="0.2"/>
    <row r="256" s="51" customFormat="1" ht="13.5" customHeight="1" x14ac:dyDescent="0.2"/>
    <row r="257" s="51" customFormat="1" ht="13.5" customHeight="1" x14ac:dyDescent="0.2"/>
    <row r="258" s="51" customFormat="1" ht="13.5" customHeight="1" x14ac:dyDescent="0.2"/>
    <row r="259" s="51" customFormat="1" ht="13.5" customHeight="1" x14ac:dyDescent="0.2"/>
    <row r="260" s="51" customFormat="1" ht="13.5" customHeight="1" x14ac:dyDescent="0.2"/>
    <row r="261" s="51" customFormat="1" ht="13.5" customHeight="1" x14ac:dyDescent="0.2"/>
    <row r="262" s="51" customFormat="1" ht="13.5" customHeight="1" x14ac:dyDescent="0.2"/>
    <row r="263" s="51" customFormat="1" ht="13.5" customHeight="1" x14ac:dyDescent="0.2"/>
    <row r="264" s="51" customFormat="1" ht="13.5" customHeight="1" x14ac:dyDescent="0.2"/>
    <row r="265" s="51" customFormat="1" ht="13.5" customHeight="1" x14ac:dyDescent="0.2"/>
    <row r="266" s="51" customFormat="1" ht="13.5" customHeight="1" x14ac:dyDescent="0.2"/>
    <row r="267" s="51" customFormat="1" ht="13.5" customHeight="1" x14ac:dyDescent="0.2"/>
    <row r="268" s="51" customFormat="1" ht="13.5" customHeight="1" x14ac:dyDescent="0.2"/>
    <row r="269" s="51" customFormat="1" ht="13.5" customHeight="1" x14ac:dyDescent="0.2"/>
    <row r="270" s="51" customFormat="1" ht="13.5" customHeight="1" x14ac:dyDescent="0.2"/>
    <row r="271" s="51" customFormat="1" ht="13.5" customHeight="1" x14ac:dyDescent="0.2"/>
    <row r="272" s="51" customFormat="1" ht="13.5" customHeight="1" x14ac:dyDescent="0.2"/>
    <row r="273" s="51" customFormat="1" ht="13.5" customHeight="1" x14ac:dyDescent="0.2"/>
    <row r="274" s="51" customFormat="1" ht="13.5" customHeight="1" x14ac:dyDescent="0.2"/>
    <row r="275" s="51" customFormat="1" ht="13.5" customHeight="1" x14ac:dyDescent="0.2"/>
    <row r="276" s="51" customFormat="1" ht="13.5" customHeight="1" x14ac:dyDescent="0.2"/>
    <row r="277" s="51" customFormat="1" ht="13.5" customHeight="1" x14ac:dyDescent="0.2"/>
    <row r="278" s="51" customFormat="1" ht="13.5" customHeight="1" x14ac:dyDescent="0.2"/>
    <row r="279" s="51" customFormat="1" ht="13.5" customHeight="1" x14ac:dyDescent="0.2"/>
    <row r="280" s="51" customFormat="1" ht="13.5" customHeight="1" x14ac:dyDescent="0.2"/>
    <row r="281" s="51" customFormat="1" ht="13.5" customHeight="1" x14ac:dyDescent="0.2"/>
    <row r="282" s="51" customFormat="1" ht="13.5" customHeight="1" x14ac:dyDescent="0.2"/>
    <row r="283" s="51" customFormat="1" ht="13.5" customHeight="1" x14ac:dyDescent="0.2"/>
    <row r="284" s="51" customFormat="1" ht="13.5" customHeight="1" x14ac:dyDescent="0.2"/>
    <row r="285" s="51" customFormat="1" ht="13.5" customHeight="1" x14ac:dyDescent="0.2"/>
    <row r="286" s="51" customFormat="1" ht="13.5" customHeight="1" x14ac:dyDescent="0.2"/>
    <row r="287" s="51" customFormat="1" ht="13.5" customHeight="1" x14ac:dyDescent="0.2"/>
    <row r="288" s="51" customFormat="1" ht="13.5" customHeight="1" x14ac:dyDescent="0.2"/>
    <row r="289" s="51" customFormat="1" ht="13.5" customHeight="1" x14ac:dyDescent="0.2"/>
    <row r="290" s="51" customFormat="1" ht="13.5" customHeight="1" x14ac:dyDescent="0.2"/>
    <row r="291" s="51" customFormat="1" ht="13.5" customHeight="1" x14ac:dyDescent="0.2"/>
    <row r="292" s="51" customFormat="1" ht="13.5" customHeight="1" x14ac:dyDescent="0.2"/>
    <row r="293" s="51" customFormat="1" ht="13.5" customHeight="1" x14ac:dyDescent="0.2"/>
    <row r="294" s="51" customFormat="1" ht="13.5" customHeight="1" x14ac:dyDescent="0.2"/>
    <row r="295" s="51" customFormat="1" ht="13.5" customHeight="1" x14ac:dyDescent="0.2"/>
    <row r="296" s="51" customFormat="1" ht="13.5" customHeight="1" x14ac:dyDescent="0.2"/>
    <row r="297" s="51" customFormat="1" ht="13.5" customHeight="1" x14ac:dyDescent="0.2"/>
    <row r="298" s="51" customFormat="1" ht="13.5" customHeight="1" x14ac:dyDescent="0.2"/>
    <row r="299" s="51" customFormat="1" ht="13.5" customHeight="1" x14ac:dyDescent="0.2"/>
    <row r="300" s="51" customFormat="1" ht="13.5" customHeight="1" x14ac:dyDescent="0.2"/>
    <row r="301" s="51" customFormat="1" ht="13.5" customHeight="1" x14ac:dyDescent="0.2"/>
    <row r="302" s="51" customFormat="1" ht="13.5" customHeight="1" x14ac:dyDescent="0.2"/>
    <row r="303" s="51" customFormat="1" ht="13.5" customHeight="1" x14ac:dyDescent="0.2"/>
    <row r="304" s="51" customFormat="1" ht="13.5" customHeight="1" x14ac:dyDescent="0.2"/>
    <row r="305" s="51" customFormat="1" ht="13.5" customHeight="1" x14ac:dyDescent="0.2"/>
    <row r="306" s="51" customFormat="1" ht="13.5" customHeight="1" x14ac:dyDescent="0.2"/>
    <row r="307" s="51" customFormat="1" ht="13.5" customHeight="1" x14ac:dyDescent="0.2"/>
    <row r="308" s="51" customFormat="1" ht="13.5" customHeight="1" x14ac:dyDescent="0.2"/>
    <row r="309" s="51" customFormat="1" ht="13.5" customHeight="1" x14ac:dyDescent="0.2"/>
    <row r="310" s="51" customFormat="1" ht="13.5" customHeight="1" x14ac:dyDescent="0.2"/>
    <row r="311" s="51" customFormat="1" ht="13.5" customHeight="1" x14ac:dyDescent="0.2"/>
    <row r="312" s="51" customFormat="1" ht="13.5" customHeight="1" x14ac:dyDescent="0.2"/>
    <row r="313" s="51" customFormat="1" ht="13.5" customHeight="1" x14ac:dyDescent="0.2"/>
    <row r="314" s="51" customFormat="1" ht="13.5" customHeight="1" x14ac:dyDescent="0.2"/>
    <row r="315" s="51" customFormat="1" ht="13.5" customHeight="1" x14ac:dyDescent="0.2"/>
    <row r="316" s="51" customFormat="1" ht="13.5" customHeight="1" x14ac:dyDescent="0.2"/>
    <row r="317" s="51" customFormat="1" ht="13.5" customHeight="1" x14ac:dyDescent="0.2"/>
    <row r="318" s="51" customFormat="1" ht="13.5" customHeight="1" x14ac:dyDescent="0.2"/>
    <row r="319" s="51" customFormat="1" ht="13.5" customHeight="1" x14ac:dyDescent="0.2"/>
    <row r="320" s="51" customFormat="1" ht="13.5" customHeight="1" x14ac:dyDescent="0.2"/>
    <row r="321" s="51" customFormat="1" ht="13.5" customHeight="1" x14ac:dyDescent="0.2"/>
    <row r="322" s="51" customFormat="1" ht="13.5" customHeight="1" x14ac:dyDescent="0.2"/>
    <row r="323" s="51" customFormat="1" ht="13.5" customHeight="1" x14ac:dyDescent="0.2"/>
    <row r="324" s="51" customFormat="1" ht="13.5" customHeight="1" x14ac:dyDescent="0.2"/>
    <row r="325" s="51" customFormat="1" ht="13.5" customHeight="1" x14ac:dyDescent="0.2"/>
    <row r="326" s="51" customFormat="1" ht="13.5" customHeight="1" x14ac:dyDescent="0.2"/>
    <row r="327" s="51" customFormat="1" ht="13.5" customHeight="1" x14ac:dyDescent="0.2"/>
    <row r="328" s="51" customFormat="1" ht="13.5" customHeight="1" x14ac:dyDescent="0.2"/>
    <row r="329" s="51" customFormat="1" ht="13.5" customHeight="1" x14ac:dyDescent="0.2"/>
    <row r="330" s="51" customFormat="1" ht="13.5" customHeight="1" x14ac:dyDescent="0.2"/>
    <row r="331" s="51" customFormat="1" ht="13.5" customHeight="1" x14ac:dyDescent="0.2"/>
    <row r="332" s="51" customFormat="1" ht="13.5" customHeight="1" x14ac:dyDescent="0.2"/>
    <row r="333" s="51" customFormat="1" ht="13.5" customHeight="1" x14ac:dyDescent="0.2"/>
    <row r="334" s="51" customFormat="1" ht="13.5" customHeight="1" x14ac:dyDescent="0.2"/>
    <row r="335" s="51" customFormat="1" ht="13.5" customHeight="1" x14ac:dyDescent="0.2"/>
    <row r="336" s="51" customFormat="1" ht="13.5" customHeight="1" x14ac:dyDescent="0.2"/>
    <row r="337" s="51" customFormat="1" ht="13.5" customHeight="1" x14ac:dyDescent="0.2"/>
    <row r="338" s="51" customFormat="1" ht="13.5" customHeight="1" x14ac:dyDescent="0.2"/>
    <row r="339" s="51" customFormat="1" ht="13.5" customHeight="1" x14ac:dyDescent="0.2"/>
    <row r="340" s="51" customFormat="1" ht="13.5" customHeight="1" x14ac:dyDescent="0.2"/>
    <row r="341" s="51" customFormat="1" ht="13.5" customHeight="1" x14ac:dyDescent="0.2"/>
    <row r="342" s="51" customFormat="1" ht="13.5" customHeight="1" x14ac:dyDescent="0.2"/>
    <row r="343" s="51" customFormat="1" ht="13.5" customHeight="1" x14ac:dyDescent="0.2"/>
    <row r="344" s="51" customFormat="1" ht="13.5" customHeight="1" x14ac:dyDescent="0.2"/>
    <row r="345" s="51" customFormat="1" ht="13.5" customHeight="1" x14ac:dyDescent="0.2"/>
    <row r="346" s="51" customFormat="1" ht="13.5" customHeight="1" x14ac:dyDescent="0.2"/>
    <row r="347" s="51" customFormat="1" ht="13.5" customHeight="1" x14ac:dyDescent="0.2"/>
    <row r="348" s="51" customFormat="1" ht="13.5" customHeight="1" x14ac:dyDescent="0.2"/>
    <row r="349" s="51" customFormat="1" ht="13.5" customHeight="1" x14ac:dyDescent="0.2"/>
    <row r="350" s="51" customFormat="1" ht="13.5" customHeight="1" x14ac:dyDescent="0.2"/>
    <row r="351" s="51" customFormat="1" ht="13.5" customHeight="1" x14ac:dyDescent="0.2"/>
    <row r="352" s="51" customFormat="1" ht="13.5" customHeight="1" x14ac:dyDescent="0.2"/>
    <row r="353" s="51" customFormat="1" ht="13.5" customHeight="1" x14ac:dyDescent="0.2"/>
    <row r="354" s="51" customFormat="1" ht="13.5" customHeight="1" x14ac:dyDescent="0.2"/>
    <row r="355" s="51" customFormat="1" ht="13.5" customHeight="1" x14ac:dyDescent="0.2"/>
    <row r="356" s="51" customFormat="1" ht="13.5" customHeight="1" x14ac:dyDescent="0.2"/>
    <row r="357" s="51" customFormat="1" ht="13.5" customHeight="1" x14ac:dyDescent="0.2"/>
    <row r="358" s="51" customFormat="1" ht="13.5" customHeight="1" x14ac:dyDescent="0.2"/>
    <row r="359" s="51" customFormat="1" ht="13.5" customHeight="1" x14ac:dyDescent="0.2"/>
    <row r="360" s="51" customFormat="1" ht="13.5" customHeight="1" x14ac:dyDescent="0.2"/>
    <row r="361" s="51" customFormat="1" ht="13.5" customHeight="1" x14ac:dyDescent="0.2"/>
    <row r="362" s="51" customFormat="1" ht="13.5" customHeight="1" x14ac:dyDescent="0.2"/>
    <row r="363" s="51" customFormat="1" ht="13.5" customHeight="1" x14ac:dyDescent="0.2"/>
    <row r="364" s="51" customFormat="1" ht="13.5" customHeight="1" x14ac:dyDescent="0.2"/>
    <row r="365" s="51" customFormat="1" ht="13.5" customHeight="1" x14ac:dyDescent="0.2"/>
    <row r="366" s="51" customFormat="1" ht="13.5" customHeight="1" x14ac:dyDescent="0.2"/>
    <row r="367" s="51" customFormat="1" ht="13.5" customHeight="1" x14ac:dyDescent="0.2"/>
    <row r="368" s="51" customFormat="1" ht="13.5" customHeight="1" x14ac:dyDescent="0.2"/>
    <row r="369" s="51" customFormat="1" ht="13.5" customHeight="1" x14ac:dyDescent="0.2"/>
    <row r="370" s="51" customFormat="1" ht="13.5" customHeight="1" x14ac:dyDescent="0.2"/>
    <row r="371" s="51" customFormat="1" ht="13.5" customHeight="1" x14ac:dyDescent="0.2"/>
    <row r="372" s="51" customFormat="1" ht="13.5" customHeight="1" x14ac:dyDescent="0.2"/>
    <row r="373" s="51" customFormat="1" ht="13.5" customHeight="1" x14ac:dyDescent="0.2"/>
    <row r="374" s="51" customFormat="1" ht="13.5" customHeight="1" x14ac:dyDescent="0.2"/>
    <row r="375" s="51" customFormat="1" ht="13.5" customHeight="1" x14ac:dyDescent="0.2"/>
    <row r="376" s="51" customFormat="1" ht="13.5" customHeight="1" x14ac:dyDescent="0.2"/>
    <row r="377" s="51" customFormat="1" ht="13.5" customHeight="1" x14ac:dyDescent="0.2"/>
    <row r="378" s="51" customFormat="1" ht="13.5" customHeight="1" x14ac:dyDescent="0.2"/>
    <row r="379" s="51" customFormat="1" ht="13.5" customHeight="1" x14ac:dyDescent="0.2"/>
    <row r="380" s="51" customFormat="1" ht="13.5" customHeight="1" x14ac:dyDescent="0.2"/>
    <row r="381" s="51" customFormat="1" ht="13.5" customHeight="1" x14ac:dyDescent="0.2"/>
    <row r="382" s="51" customFormat="1" ht="13.5" customHeight="1" x14ac:dyDescent="0.2"/>
    <row r="383" s="51" customFormat="1" ht="13.5" customHeight="1" x14ac:dyDescent="0.2"/>
    <row r="384" s="51" customFormat="1" ht="13.5" customHeight="1" x14ac:dyDescent="0.2"/>
    <row r="385" s="51" customFormat="1" ht="13.5" customHeight="1" x14ac:dyDescent="0.2"/>
    <row r="386" s="51" customFormat="1" ht="13.5" customHeight="1" x14ac:dyDescent="0.2"/>
    <row r="387" s="51" customFormat="1" ht="13.5" customHeight="1" x14ac:dyDescent="0.2"/>
    <row r="388" s="51" customFormat="1" ht="13.5" customHeight="1" x14ac:dyDescent="0.2"/>
    <row r="389" s="51" customFormat="1" ht="13.5" customHeight="1" x14ac:dyDescent="0.2"/>
    <row r="390" s="51" customFormat="1" ht="13.5" customHeight="1" x14ac:dyDescent="0.2"/>
    <row r="391" s="51" customFormat="1" ht="13.5" customHeight="1" x14ac:dyDescent="0.2"/>
    <row r="392" s="51" customFormat="1" ht="13.5" customHeight="1" x14ac:dyDescent="0.2"/>
    <row r="393" s="51" customFormat="1" ht="13.5" customHeight="1" x14ac:dyDescent="0.2"/>
    <row r="394" s="51" customFormat="1" ht="13.5" customHeight="1" x14ac:dyDescent="0.2"/>
    <row r="395" s="51" customFormat="1" ht="13.5" customHeight="1" x14ac:dyDescent="0.2"/>
    <row r="396" s="51" customFormat="1" ht="13.5" customHeight="1" x14ac:dyDescent="0.2"/>
    <row r="397" s="51" customFormat="1" ht="13.5" customHeight="1" x14ac:dyDescent="0.2"/>
    <row r="398" s="51" customFormat="1" ht="13.5" customHeight="1" x14ac:dyDescent="0.2"/>
    <row r="399" s="51" customFormat="1" ht="13.5" customHeight="1" x14ac:dyDescent="0.2"/>
    <row r="400" s="51" customFormat="1" ht="13.5" customHeight="1" x14ac:dyDescent="0.2"/>
    <row r="401" s="51" customFormat="1" ht="13.5" customHeight="1" x14ac:dyDescent="0.2"/>
    <row r="402" s="51" customFormat="1" ht="13.5" customHeight="1" x14ac:dyDescent="0.2"/>
    <row r="403" s="51" customFormat="1" ht="13.5" customHeight="1" x14ac:dyDescent="0.2"/>
    <row r="404" s="51" customFormat="1" ht="13.5" customHeight="1" x14ac:dyDescent="0.2"/>
    <row r="405" s="51" customFormat="1" ht="13.5" customHeight="1" x14ac:dyDescent="0.2"/>
    <row r="406" s="51" customFormat="1" ht="13.5" customHeight="1" x14ac:dyDescent="0.2"/>
    <row r="407" s="51" customFormat="1" ht="13.5" customHeight="1" x14ac:dyDescent="0.2"/>
    <row r="408" s="51" customFormat="1" ht="13.5" customHeight="1" x14ac:dyDescent="0.2"/>
    <row r="409" s="51" customFormat="1" ht="13.5" customHeight="1" x14ac:dyDescent="0.2"/>
    <row r="410" s="51" customFormat="1" ht="13.5" customHeight="1" x14ac:dyDescent="0.2"/>
    <row r="411" s="51" customFormat="1" ht="13.5" customHeight="1" x14ac:dyDescent="0.2"/>
    <row r="412" s="51" customFormat="1" ht="13.5" customHeight="1" x14ac:dyDescent="0.2"/>
    <row r="413" s="51" customFormat="1" ht="13.5" customHeight="1" x14ac:dyDescent="0.2"/>
    <row r="414" s="51" customFormat="1" ht="13.5" customHeight="1" x14ac:dyDescent="0.2"/>
    <row r="415" s="51" customFormat="1" ht="13.5" customHeight="1" x14ac:dyDescent="0.2"/>
    <row r="416" s="51" customFormat="1" ht="13.5" customHeight="1" x14ac:dyDescent="0.2"/>
    <row r="417" s="51" customFormat="1" ht="13.5" customHeight="1" x14ac:dyDescent="0.2"/>
    <row r="418" s="51" customFormat="1" ht="13.5" customHeight="1" x14ac:dyDescent="0.2"/>
    <row r="419" s="51" customFormat="1" ht="13.5" customHeight="1" x14ac:dyDescent="0.2"/>
    <row r="420" s="51" customFormat="1" ht="13.5" customHeight="1" x14ac:dyDescent="0.2"/>
    <row r="421" s="51" customFormat="1" ht="13.5" customHeight="1" x14ac:dyDescent="0.2"/>
    <row r="422" s="51" customFormat="1" ht="13.5" customHeight="1" x14ac:dyDescent="0.2"/>
    <row r="423" s="51" customFormat="1" ht="13.5" customHeight="1" x14ac:dyDescent="0.2"/>
    <row r="424" s="51" customFormat="1" ht="13.5" customHeight="1" x14ac:dyDescent="0.2"/>
    <row r="425" s="51" customFormat="1" ht="13.5" customHeight="1" x14ac:dyDescent="0.2"/>
    <row r="426" s="51" customFormat="1" ht="13.5" customHeight="1" x14ac:dyDescent="0.2"/>
    <row r="427" s="51" customFormat="1" ht="13.5" customHeight="1" x14ac:dyDescent="0.2"/>
    <row r="428" s="51" customFormat="1" ht="13.5" customHeight="1" x14ac:dyDescent="0.2"/>
    <row r="429" s="51" customFormat="1" ht="13.5" customHeight="1" x14ac:dyDescent="0.2"/>
    <row r="430" s="51" customFormat="1" ht="13.5" customHeight="1" x14ac:dyDescent="0.2"/>
    <row r="431" s="51" customFormat="1" ht="13.5" customHeight="1" x14ac:dyDescent="0.2"/>
    <row r="432" s="51" customFormat="1" ht="13.5" customHeight="1" x14ac:dyDescent="0.2"/>
    <row r="433" s="51" customFormat="1" ht="13.5" customHeight="1" x14ac:dyDescent="0.2"/>
    <row r="434" s="51" customFormat="1" ht="13.5" customHeight="1" x14ac:dyDescent="0.2"/>
    <row r="435" s="51" customFormat="1" ht="13.5" customHeight="1" x14ac:dyDescent="0.2"/>
    <row r="436" s="51" customFormat="1" ht="13.5" customHeight="1" x14ac:dyDescent="0.2"/>
    <row r="437" s="51" customFormat="1" ht="13.5" customHeight="1" x14ac:dyDescent="0.2"/>
    <row r="438" s="51" customFormat="1" ht="13.5" customHeight="1" x14ac:dyDescent="0.2"/>
    <row r="439" s="51" customFormat="1" ht="13.5" customHeight="1" x14ac:dyDescent="0.2"/>
    <row r="440" s="51" customFormat="1" ht="13.5" customHeight="1" x14ac:dyDescent="0.2"/>
    <row r="441" s="51" customFormat="1" ht="13.5" customHeight="1" x14ac:dyDescent="0.2"/>
    <row r="442" s="51" customFormat="1" ht="13.5" customHeight="1" x14ac:dyDescent="0.2"/>
    <row r="443" s="51" customFormat="1" ht="13.5" customHeight="1" x14ac:dyDescent="0.2"/>
    <row r="444" s="51" customFormat="1" ht="13.5" customHeight="1" x14ac:dyDescent="0.2"/>
    <row r="445" s="51" customFormat="1" ht="13.5" customHeight="1" x14ac:dyDescent="0.2"/>
    <row r="446" s="51" customFormat="1" ht="13.5" customHeight="1" x14ac:dyDescent="0.2"/>
    <row r="447" s="51" customFormat="1" ht="13.5" customHeight="1" x14ac:dyDescent="0.2"/>
    <row r="448" s="51" customFormat="1" ht="13.5" customHeight="1" x14ac:dyDescent="0.2"/>
    <row r="449" s="51" customFormat="1" ht="13.5" customHeight="1" x14ac:dyDescent="0.2"/>
    <row r="450" s="51" customFormat="1" ht="13.5" customHeight="1" x14ac:dyDescent="0.2"/>
    <row r="451" s="51" customFormat="1" ht="13.5" customHeight="1" x14ac:dyDescent="0.2"/>
    <row r="452" s="51" customFormat="1" ht="13.5" customHeight="1" x14ac:dyDescent="0.2"/>
    <row r="453" s="51" customFormat="1" ht="13.5" customHeight="1" x14ac:dyDescent="0.2"/>
    <row r="454" s="51" customFormat="1" ht="13.5" customHeight="1" x14ac:dyDescent="0.2"/>
    <row r="455" s="51" customFormat="1" ht="13.5" customHeight="1" x14ac:dyDescent="0.2"/>
    <row r="456" s="51" customFormat="1" ht="13.5" customHeight="1" x14ac:dyDescent="0.2"/>
    <row r="457" s="51" customFormat="1" ht="13.5" customHeight="1" x14ac:dyDescent="0.2"/>
    <row r="458" s="51" customFormat="1" ht="13.5" customHeight="1" x14ac:dyDescent="0.2"/>
    <row r="459" s="51" customFormat="1" ht="13.5" customHeight="1" x14ac:dyDescent="0.2"/>
    <row r="460" s="51" customFormat="1" ht="13.5" customHeight="1" x14ac:dyDescent="0.2"/>
    <row r="461" s="51" customFormat="1" ht="13.5" customHeight="1" x14ac:dyDescent="0.2"/>
    <row r="462" s="51" customFormat="1" ht="13.5" customHeight="1" x14ac:dyDescent="0.2"/>
    <row r="463" s="51" customFormat="1" ht="13.5" customHeight="1" x14ac:dyDescent="0.2"/>
    <row r="464" s="51" customFormat="1" ht="13.5" customHeight="1" x14ac:dyDescent="0.2"/>
    <row r="465" s="51" customFormat="1" ht="13.5" customHeight="1" x14ac:dyDescent="0.2"/>
    <row r="466" s="51" customFormat="1" ht="13.5" customHeight="1" x14ac:dyDescent="0.2"/>
    <row r="467" s="51" customFormat="1" ht="13.5" customHeight="1" x14ac:dyDescent="0.2"/>
    <row r="468" s="51" customFormat="1" ht="13.5" customHeight="1" x14ac:dyDescent="0.2"/>
    <row r="469" s="51" customFormat="1" ht="13.5" customHeight="1" x14ac:dyDescent="0.2"/>
    <row r="470" s="51" customFormat="1" ht="13.5" customHeight="1" x14ac:dyDescent="0.2"/>
    <row r="471" s="51" customFormat="1" ht="13.5" customHeight="1" x14ac:dyDescent="0.2"/>
    <row r="472" s="51" customFormat="1" ht="13.5" customHeight="1" x14ac:dyDescent="0.2"/>
    <row r="473" s="51" customFormat="1" ht="13.5" customHeight="1" x14ac:dyDescent="0.2"/>
    <row r="474" s="51" customFormat="1" ht="13.5" customHeight="1" x14ac:dyDescent="0.2"/>
    <row r="475" s="51" customFormat="1" ht="13.5" customHeight="1" x14ac:dyDescent="0.2"/>
    <row r="476" s="51" customFormat="1" ht="13.5" customHeight="1" x14ac:dyDescent="0.2"/>
    <row r="477" s="51" customFormat="1" ht="13.5" customHeight="1" x14ac:dyDescent="0.2"/>
    <row r="478" s="51" customFormat="1" ht="13.5" customHeight="1" x14ac:dyDescent="0.2"/>
    <row r="479" s="51" customFormat="1" ht="13.5" customHeight="1" x14ac:dyDescent="0.2"/>
    <row r="480" s="51" customFormat="1" ht="13.5" customHeight="1" x14ac:dyDescent="0.2"/>
    <row r="481" s="51" customFormat="1" ht="13.5" customHeight="1" x14ac:dyDescent="0.2"/>
    <row r="482" s="51" customFormat="1" ht="13.5" customHeight="1" x14ac:dyDescent="0.2"/>
    <row r="483" s="51" customFormat="1" ht="13.5" customHeight="1" x14ac:dyDescent="0.2"/>
    <row r="484" s="51" customFormat="1" ht="13.5" customHeight="1" x14ac:dyDescent="0.2"/>
    <row r="485" s="51" customFormat="1" ht="13.5" customHeight="1" x14ac:dyDescent="0.2"/>
    <row r="486" s="51" customFormat="1" ht="13.5" customHeight="1" x14ac:dyDescent="0.2"/>
    <row r="487" s="51" customFormat="1" ht="13.5" customHeight="1" x14ac:dyDescent="0.2"/>
    <row r="488" s="51" customFormat="1" ht="13.5" customHeight="1" x14ac:dyDescent="0.2"/>
    <row r="489" s="51" customFormat="1" ht="13.5" customHeight="1" x14ac:dyDescent="0.2"/>
    <row r="490" s="51" customFormat="1" ht="13.5" customHeight="1" x14ac:dyDescent="0.2"/>
    <row r="491" s="51" customFormat="1" ht="13.5" customHeight="1" x14ac:dyDescent="0.2"/>
    <row r="492" s="51" customFormat="1" ht="13.5" customHeight="1" x14ac:dyDescent="0.2"/>
    <row r="493" s="51" customFormat="1" ht="13.5" customHeight="1" x14ac:dyDescent="0.2"/>
    <row r="494" s="51" customFormat="1" ht="13.5" customHeight="1" x14ac:dyDescent="0.2"/>
    <row r="495" s="51" customFormat="1" ht="13.5" customHeight="1" x14ac:dyDescent="0.2"/>
    <row r="496" s="51" customFormat="1" ht="13.5" customHeight="1" x14ac:dyDescent="0.2"/>
    <row r="497" s="51" customFormat="1" ht="13.5" customHeight="1" x14ac:dyDescent="0.2"/>
    <row r="498" s="51" customFormat="1" ht="13.5" customHeight="1" x14ac:dyDescent="0.2"/>
    <row r="499" s="51" customFormat="1" ht="13.5" customHeight="1" x14ac:dyDescent="0.2"/>
    <row r="500" s="51" customFormat="1" ht="13.5" customHeight="1" x14ac:dyDescent="0.2"/>
    <row r="501" s="51" customFormat="1" ht="13.5" customHeight="1" x14ac:dyDescent="0.2"/>
    <row r="502" s="51" customFormat="1" ht="13.5" customHeight="1" x14ac:dyDescent="0.2"/>
    <row r="503" s="51" customFormat="1" ht="13.5" customHeight="1" x14ac:dyDescent="0.2"/>
    <row r="504" s="51" customFormat="1" ht="13.5" customHeight="1" x14ac:dyDescent="0.2"/>
    <row r="505" s="51" customFormat="1" ht="13.5" customHeight="1" x14ac:dyDescent="0.2"/>
    <row r="506" s="51" customFormat="1" ht="13.5" customHeight="1" x14ac:dyDescent="0.2"/>
    <row r="507" s="51" customFormat="1" ht="13.5" customHeight="1" x14ac:dyDescent="0.2"/>
    <row r="508" s="51" customFormat="1" ht="13.5" customHeight="1" x14ac:dyDescent="0.2"/>
    <row r="509" s="51" customFormat="1" ht="13.5" customHeight="1" x14ac:dyDescent="0.2"/>
    <row r="510" s="51" customFormat="1" ht="13.5" customHeight="1" x14ac:dyDescent="0.2"/>
    <row r="511" s="51" customFormat="1" ht="13.5" customHeight="1" x14ac:dyDescent="0.2"/>
    <row r="512" s="51" customFormat="1" ht="13.5" customHeight="1" x14ac:dyDescent="0.2"/>
    <row r="513" s="51" customFormat="1" ht="13.5" customHeight="1" x14ac:dyDescent="0.2"/>
    <row r="514" s="51" customFormat="1" ht="13.5" customHeight="1" x14ac:dyDescent="0.2"/>
    <row r="515" s="51" customFormat="1" ht="13.5" customHeight="1" x14ac:dyDescent="0.2"/>
    <row r="516" s="51" customFormat="1" ht="13.5" customHeight="1" x14ac:dyDescent="0.2"/>
    <row r="517" s="51" customFormat="1" ht="13.5" customHeight="1" x14ac:dyDescent="0.2"/>
    <row r="518" s="51" customFormat="1" ht="13.5" customHeight="1" x14ac:dyDescent="0.2"/>
    <row r="519" s="51" customFormat="1" ht="13.5" customHeight="1" x14ac:dyDescent="0.2"/>
    <row r="520" s="51" customFormat="1" ht="13.5" customHeight="1" x14ac:dyDescent="0.2"/>
    <row r="521" s="51" customFormat="1" ht="13.5" customHeight="1" x14ac:dyDescent="0.2"/>
    <row r="522" s="51" customFormat="1" ht="13.5" customHeight="1" x14ac:dyDescent="0.2"/>
    <row r="523" s="51" customFormat="1" ht="13.5" customHeight="1" x14ac:dyDescent="0.2"/>
    <row r="524" s="51" customFormat="1" ht="13.5" customHeight="1" x14ac:dyDescent="0.2"/>
    <row r="525" s="51" customFormat="1" ht="13.5" customHeight="1" x14ac:dyDescent="0.2"/>
    <row r="526" s="51" customFormat="1" ht="13.5" customHeight="1" x14ac:dyDescent="0.2"/>
    <row r="527" s="51" customFormat="1" ht="13.5" customHeight="1" x14ac:dyDescent="0.2"/>
    <row r="528" s="51" customFormat="1" ht="13.5" customHeight="1" x14ac:dyDescent="0.2"/>
    <row r="529" s="51" customFormat="1" ht="13.5" customHeight="1" x14ac:dyDescent="0.2"/>
    <row r="530" s="51" customFormat="1" ht="13.5" customHeight="1" x14ac:dyDescent="0.2"/>
    <row r="531" s="51" customFormat="1" ht="13.5" customHeight="1" x14ac:dyDescent="0.2"/>
    <row r="532" s="51" customFormat="1" ht="13.5" customHeight="1" x14ac:dyDescent="0.2"/>
    <row r="533" s="51" customFormat="1" ht="13.5" customHeight="1" x14ac:dyDescent="0.2"/>
    <row r="534" s="51" customFormat="1" ht="13.5" customHeight="1" x14ac:dyDescent="0.2"/>
    <row r="535" s="51" customFormat="1" ht="13.5" customHeight="1" x14ac:dyDescent="0.2"/>
    <row r="536" s="51" customFormat="1" ht="13.5" customHeight="1" x14ac:dyDescent="0.2"/>
    <row r="537" s="51" customFormat="1" ht="13.5" customHeight="1" x14ac:dyDescent="0.2"/>
    <row r="538" s="51" customFormat="1" ht="13.5" customHeight="1" x14ac:dyDescent="0.2"/>
    <row r="539" s="51" customFormat="1" ht="13.5" customHeight="1" x14ac:dyDescent="0.2"/>
    <row r="540" s="51" customFormat="1" ht="13.5" customHeight="1" x14ac:dyDescent="0.2"/>
    <row r="541" s="51" customFormat="1" ht="13.5" customHeight="1" x14ac:dyDescent="0.2"/>
    <row r="542" s="51" customFormat="1" ht="13.5" customHeight="1" x14ac:dyDescent="0.2"/>
    <row r="543" s="51" customFormat="1" ht="13.5" customHeight="1" x14ac:dyDescent="0.2"/>
    <row r="544" s="51" customFormat="1" ht="13.5" customHeight="1" x14ac:dyDescent="0.2"/>
    <row r="545" s="51" customFormat="1" ht="13.5" customHeight="1" x14ac:dyDescent="0.2"/>
    <row r="546" s="51" customFormat="1" ht="13.5" customHeight="1" x14ac:dyDescent="0.2"/>
    <row r="547" s="51" customFormat="1" ht="13.5" customHeight="1" x14ac:dyDescent="0.2"/>
    <row r="548" s="51" customFormat="1" ht="13.5" customHeight="1" x14ac:dyDescent="0.2"/>
    <row r="549" s="51" customFormat="1" ht="13.5" customHeight="1" x14ac:dyDescent="0.2"/>
    <row r="550" s="51" customFormat="1" ht="13.5" customHeight="1" x14ac:dyDescent="0.2"/>
    <row r="551" s="51" customFormat="1" ht="13.5" customHeight="1" x14ac:dyDescent="0.2"/>
    <row r="552" s="51" customFormat="1" ht="13.5" customHeight="1" x14ac:dyDescent="0.2"/>
    <row r="553" s="51" customFormat="1" ht="13.5" customHeight="1" x14ac:dyDescent="0.2"/>
    <row r="554" s="51" customFormat="1" ht="13.5" customHeight="1" x14ac:dyDescent="0.2"/>
    <row r="555" s="51" customFormat="1" ht="13.5" customHeight="1" x14ac:dyDescent="0.2"/>
    <row r="556" s="51" customFormat="1" ht="13.5" customHeight="1" x14ac:dyDescent="0.2"/>
    <row r="557" s="51" customFormat="1" ht="13.5" customHeight="1" x14ac:dyDescent="0.2"/>
    <row r="558" s="51" customFormat="1" ht="13.5" customHeight="1" x14ac:dyDescent="0.2"/>
    <row r="559" s="51" customFormat="1" ht="13.5" customHeight="1" x14ac:dyDescent="0.2"/>
    <row r="560" s="51" customFormat="1" ht="13.5" customHeight="1" x14ac:dyDescent="0.2"/>
    <row r="561" s="51" customFormat="1" ht="13.5" customHeight="1" x14ac:dyDescent="0.2"/>
    <row r="562" s="51" customFormat="1" ht="13.5" customHeight="1" x14ac:dyDescent="0.2"/>
    <row r="563" s="51" customFormat="1" ht="13.5" customHeight="1" x14ac:dyDescent="0.2"/>
    <row r="564" s="51" customFormat="1" ht="13.5" customHeight="1" x14ac:dyDescent="0.2"/>
    <row r="565" s="51" customFormat="1" ht="13.5" customHeight="1" x14ac:dyDescent="0.2"/>
    <row r="566" s="51" customFormat="1" ht="13.5" customHeight="1" x14ac:dyDescent="0.2"/>
    <row r="567" s="51" customFormat="1" ht="13.5" customHeight="1" x14ac:dyDescent="0.2"/>
    <row r="568" s="51" customFormat="1" ht="13.5" customHeight="1" x14ac:dyDescent="0.2"/>
    <row r="569" s="51" customFormat="1" ht="13.5" customHeight="1" x14ac:dyDescent="0.2"/>
    <row r="570" s="51" customFormat="1" ht="13.5" customHeight="1" x14ac:dyDescent="0.2"/>
    <row r="571" s="51" customFormat="1" ht="13.5" customHeight="1" x14ac:dyDescent="0.2"/>
    <row r="572" s="51" customFormat="1" ht="13.5" customHeight="1" x14ac:dyDescent="0.2"/>
    <row r="573" s="51" customFormat="1" ht="13.5" customHeight="1" x14ac:dyDescent="0.2"/>
    <row r="574" s="51" customFormat="1" ht="13.5" customHeight="1" x14ac:dyDescent="0.2"/>
    <row r="575" s="51" customFormat="1" ht="13.5" customHeight="1" x14ac:dyDescent="0.2"/>
    <row r="576" s="51" customFormat="1" ht="13.5" customHeight="1" x14ac:dyDescent="0.2"/>
    <row r="577" s="51" customFormat="1" ht="13.5" customHeight="1" x14ac:dyDescent="0.2"/>
    <row r="578" s="51" customFormat="1" ht="13.5" customHeight="1" x14ac:dyDescent="0.2"/>
    <row r="579" s="51" customFormat="1" ht="13.5" customHeight="1" x14ac:dyDescent="0.2"/>
    <row r="580" s="51" customFormat="1" ht="13.5" customHeight="1" x14ac:dyDescent="0.2"/>
    <row r="581" s="51" customFormat="1" ht="13.5" customHeight="1" x14ac:dyDescent="0.2"/>
    <row r="582" s="51" customFormat="1" ht="13.5" customHeight="1" x14ac:dyDescent="0.2"/>
    <row r="583" s="51" customFormat="1" ht="13.5" customHeight="1" x14ac:dyDescent="0.2"/>
    <row r="584" s="51" customFormat="1" ht="13.5" customHeight="1" x14ac:dyDescent="0.2"/>
    <row r="585" s="51" customFormat="1" ht="13.5" customHeight="1" x14ac:dyDescent="0.2"/>
    <row r="586" s="51" customFormat="1" ht="13.5" customHeight="1" x14ac:dyDescent="0.2"/>
    <row r="587" s="51" customFormat="1" ht="13.5" customHeight="1" x14ac:dyDescent="0.2"/>
    <row r="588" s="51" customFormat="1" ht="13.5" customHeight="1" x14ac:dyDescent="0.2"/>
    <row r="589" s="51" customFormat="1" ht="13.5" customHeight="1" x14ac:dyDescent="0.2"/>
    <row r="590" s="51" customFormat="1" ht="13.5" customHeight="1" x14ac:dyDescent="0.2"/>
    <row r="591" s="51" customFormat="1" ht="13.5" customHeight="1" x14ac:dyDescent="0.2"/>
    <row r="592" s="51" customFormat="1" ht="13.5" customHeight="1" x14ac:dyDescent="0.2"/>
    <row r="593" s="51" customFormat="1" ht="13.5" customHeight="1" x14ac:dyDescent="0.2"/>
    <row r="594" s="51" customFormat="1" ht="13.5" customHeight="1" x14ac:dyDescent="0.2"/>
    <row r="595" s="51" customFormat="1" ht="13.5" customHeight="1" x14ac:dyDescent="0.2"/>
    <row r="596" s="51" customFormat="1" ht="13.5" customHeight="1" x14ac:dyDescent="0.2"/>
    <row r="597" s="51" customFormat="1" ht="13.5" customHeight="1" x14ac:dyDescent="0.2"/>
    <row r="598" s="51" customFormat="1" ht="13.5" customHeight="1" x14ac:dyDescent="0.2"/>
    <row r="599" s="51" customFormat="1" ht="13.5" customHeight="1" x14ac:dyDescent="0.2"/>
    <row r="600" s="51" customFormat="1" ht="13.5" customHeight="1" x14ac:dyDescent="0.2"/>
    <row r="601" s="51" customFormat="1" ht="13.5" customHeight="1" x14ac:dyDescent="0.2"/>
    <row r="602" s="51" customFormat="1" ht="13.5" customHeight="1" x14ac:dyDescent="0.2"/>
    <row r="603" s="51" customFormat="1" ht="13.5" customHeight="1" x14ac:dyDescent="0.2"/>
    <row r="604" s="51" customFormat="1" ht="13.5" customHeight="1" x14ac:dyDescent="0.2"/>
    <row r="605" s="51" customFormat="1" ht="13.5" customHeight="1" x14ac:dyDescent="0.2"/>
    <row r="606" s="51" customFormat="1" ht="13.5" customHeight="1" x14ac:dyDescent="0.2"/>
    <row r="607" s="51" customFormat="1" ht="13.5" customHeight="1" x14ac:dyDescent="0.2"/>
    <row r="608" s="51" customFormat="1" ht="13.5" customHeight="1" x14ac:dyDescent="0.2"/>
    <row r="609" s="51" customFormat="1" ht="13.5" customHeight="1" x14ac:dyDescent="0.2"/>
    <row r="610" s="51" customFormat="1" ht="13.5" customHeight="1" x14ac:dyDescent="0.2"/>
    <row r="611" s="51" customFormat="1" ht="13.5" customHeight="1" x14ac:dyDescent="0.2"/>
    <row r="612" s="51" customFormat="1" ht="13.5" customHeight="1" x14ac:dyDescent="0.2"/>
    <row r="613" s="51" customFormat="1" ht="13.5" customHeight="1" x14ac:dyDescent="0.2"/>
    <row r="614" s="51" customFormat="1" ht="13.5" customHeight="1" x14ac:dyDescent="0.2"/>
    <row r="615" s="51" customFormat="1" ht="13.5" customHeight="1" x14ac:dyDescent="0.2"/>
    <row r="616" s="51" customFormat="1" ht="13.5" customHeight="1" x14ac:dyDescent="0.2"/>
    <row r="617" s="51" customFormat="1" ht="13.5" customHeight="1" x14ac:dyDescent="0.2"/>
    <row r="618" s="51" customFormat="1" ht="13.5" customHeight="1" x14ac:dyDescent="0.2"/>
    <row r="619" s="51" customFormat="1" ht="13.5" customHeight="1" x14ac:dyDescent="0.2"/>
    <row r="620" s="51" customFormat="1" ht="13.5" customHeight="1" x14ac:dyDescent="0.2"/>
    <row r="621" s="51" customFormat="1" ht="13.5" customHeight="1" x14ac:dyDescent="0.2"/>
    <row r="622" s="51" customFormat="1" ht="13.5" customHeight="1" x14ac:dyDescent="0.2"/>
    <row r="623" s="51" customFormat="1" ht="13.5" customHeight="1" x14ac:dyDescent="0.2"/>
    <row r="624" s="51" customFormat="1" ht="13.5" customHeight="1" x14ac:dyDescent="0.2"/>
    <row r="625" s="51" customFormat="1" ht="13.5" customHeight="1" x14ac:dyDescent="0.2"/>
    <row r="626" s="51" customFormat="1" ht="13.5" customHeight="1" x14ac:dyDescent="0.2"/>
    <row r="627" s="51" customFormat="1" ht="13.5" customHeight="1" x14ac:dyDescent="0.2"/>
    <row r="628" s="51" customFormat="1" ht="13.5" customHeight="1" x14ac:dyDescent="0.2"/>
    <row r="629" s="51" customFormat="1" ht="13.5" customHeight="1" x14ac:dyDescent="0.2"/>
    <row r="630" s="51" customFormat="1" ht="13.5" customHeight="1" x14ac:dyDescent="0.2"/>
    <row r="631" s="51" customFormat="1" ht="13.5" customHeight="1" x14ac:dyDescent="0.2"/>
    <row r="632" s="51" customFormat="1" ht="13.5" customHeight="1" x14ac:dyDescent="0.2"/>
    <row r="633" s="51" customFormat="1" ht="13.5" customHeight="1" x14ac:dyDescent="0.2"/>
    <row r="634" s="51" customFormat="1" ht="13.5" customHeight="1" x14ac:dyDescent="0.2"/>
    <row r="635" s="51" customFormat="1" ht="13.5" customHeight="1" x14ac:dyDescent="0.2"/>
    <row r="636" s="51" customFormat="1" ht="13.5" customHeight="1" x14ac:dyDescent="0.2"/>
    <row r="637" s="51" customFormat="1" ht="13.5" customHeight="1" x14ac:dyDescent="0.2"/>
    <row r="638" s="51" customFormat="1" ht="13.5" customHeight="1" x14ac:dyDescent="0.2"/>
    <row r="639" s="51" customFormat="1" ht="13.5" customHeight="1" x14ac:dyDescent="0.2"/>
    <row r="640" s="51" customFormat="1" ht="13.5" customHeight="1" x14ac:dyDescent="0.2"/>
    <row r="641" s="51" customFormat="1" ht="13.5" customHeight="1" x14ac:dyDescent="0.2"/>
    <row r="642" s="51" customFormat="1" ht="13.5" customHeight="1" x14ac:dyDescent="0.2"/>
    <row r="643" s="51" customFormat="1" ht="13.5" customHeight="1" x14ac:dyDescent="0.2"/>
    <row r="644" s="51" customFormat="1" ht="13.5" customHeight="1" x14ac:dyDescent="0.2"/>
    <row r="645" s="51" customFormat="1" ht="13.5" customHeight="1" x14ac:dyDescent="0.2"/>
    <row r="646" s="51" customFormat="1" ht="13.5" customHeight="1" x14ac:dyDescent="0.2"/>
    <row r="647" s="51" customFormat="1" ht="13.5" customHeight="1" x14ac:dyDescent="0.2"/>
    <row r="648" s="51" customFormat="1" ht="13.5" customHeight="1" x14ac:dyDescent="0.2"/>
    <row r="649" s="51" customFormat="1" ht="13.5" customHeight="1" x14ac:dyDescent="0.2"/>
    <row r="650" s="51" customFormat="1" ht="13.5" customHeight="1" x14ac:dyDescent="0.2"/>
    <row r="651" s="51" customFormat="1" ht="13.5" customHeight="1" x14ac:dyDescent="0.2"/>
    <row r="652" s="51" customFormat="1" ht="13.5" customHeight="1" x14ac:dyDescent="0.2"/>
    <row r="653" s="51" customFormat="1" ht="13.5" customHeight="1" x14ac:dyDescent="0.2"/>
    <row r="654" s="51" customFormat="1" ht="13.5" customHeight="1" x14ac:dyDescent="0.2"/>
    <row r="655" s="51" customFormat="1" ht="13.5" customHeight="1" x14ac:dyDescent="0.2"/>
    <row r="656" s="51" customFormat="1" ht="13.5" customHeight="1" x14ac:dyDescent="0.2"/>
    <row r="657" s="51" customFormat="1" ht="13.5" customHeight="1" x14ac:dyDescent="0.2"/>
    <row r="658" s="51" customFormat="1" ht="13.5" customHeight="1" x14ac:dyDescent="0.2"/>
    <row r="659" s="51" customFormat="1" ht="13.5" customHeight="1" x14ac:dyDescent="0.2"/>
    <row r="660" s="51" customFormat="1" ht="13.5" customHeight="1" x14ac:dyDescent="0.2"/>
    <row r="661" s="51" customFormat="1" ht="13.5" customHeight="1" x14ac:dyDescent="0.2"/>
    <row r="662" s="51" customFormat="1" ht="13.5" customHeight="1" x14ac:dyDescent="0.2"/>
    <row r="663" s="51" customFormat="1" ht="13.5" customHeight="1" x14ac:dyDescent="0.2"/>
    <row r="664" s="51" customFormat="1" ht="13.5" customHeight="1" x14ac:dyDescent="0.2"/>
    <row r="665" s="51" customFormat="1" ht="13.5" customHeight="1" x14ac:dyDescent="0.2"/>
    <row r="666" s="51" customFormat="1" ht="13.5" customHeight="1" x14ac:dyDescent="0.2"/>
    <row r="667" s="51" customFormat="1" ht="13.5" customHeight="1" x14ac:dyDescent="0.2"/>
    <row r="668" s="51" customFormat="1" ht="13.5" customHeight="1" x14ac:dyDescent="0.2"/>
    <row r="669" s="51" customFormat="1" ht="13.5" customHeight="1" x14ac:dyDescent="0.2"/>
    <row r="670" s="51" customFormat="1" ht="13.5" customHeight="1" x14ac:dyDescent="0.2"/>
    <row r="671" s="51" customFormat="1" ht="13.5" customHeight="1" x14ac:dyDescent="0.2"/>
    <row r="672" s="51" customFormat="1" ht="13.5" customHeight="1" x14ac:dyDescent="0.2"/>
    <row r="673" s="51" customFormat="1" ht="13.5" customHeight="1" x14ac:dyDescent="0.2"/>
    <row r="674" s="51" customFormat="1" ht="13.5" customHeight="1" x14ac:dyDescent="0.2"/>
    <row r="675" s="51" customFormat="1" ht="13.5" customHeight="1" x14ac:dyDescent="0.2"/>
    <row r="676" s="51" customFormat="1" ht="13.5" customHeight="1" x14ac:dyDescent="0.2"/>
    <row r="677" s="51" customFormat="1" ht="13.5" customHeight="1" x14ac:dyDescent="0.2"/>
    <row r="678" s="51" customFormat="1" ht="13.5" customHeight="1" x14ac:dyDescent="0.2"/>
    <row r="679" s="51" customFormat="1" ht="13.5" customHeight="1" x14ac:dyDescent="0.2"/>
    <row r="680" s="51" customFormat="1" ht="13.5" customHeight="1" x14ac:dyDescent="0.2"/>
    <row r="681" s="51" customFormat="1" ht="13.5" customHeight="1" x14ac:dyDescent="0.2"/>
    <row r="682" s="51" customFormat="1" ht="13.5" customHeight="1" x14ac:dyDescent="0.2"/>
    <row r="683" s="51" customFormat="1" ht="13.5" customHeight="1" x14ac:dyDescent="0.2"/>
    <row r="684" s="51" customFormat="1" ht="13.5" customHeight="1" x14ac:dyDescent="0.2"/>
    <row r="685" s="51" customFormat="1" ht="13.5" customHeight="1" x14ac:dyDescent="0.2"/>
    <row r="686" s="51" customFormat="1" ht="13.5" customHeight="1" x14ac:dyDescent="0.2"/>
    <row r="687" s="51" customFormat="1" ht="13.5" customHeight="1" x14ac:dyDescent="0.2"/>
    <row r="688" s="51" customFormat="1" ht="13.5" customHeight="1" x14ac:dyDescent="0.2"/>
    <row r="689" s="51" customFormat="1" ht="13.5" customHeight="1" x14ac:dyDescent="0.2"/>
    <row r="690" s="51" customFormat="1" ht="13.5" customHeight="1" x14ac:dyDescent="0.2"/>
    <row r="691" s="51" customFormat="1" ht="13.5" customHeight="1" x14ac:dyDescent="0.2"/>
    <row r="692" s="51" customFormat="1" ht="13.5" customHeight="1" x14ac:dyDescent="0.2"/>
    <row r="693" s="51" customFormat="1" ht="13.5" customHeight="1" x14ac:dyDescent="0.2"/>
    <row r="694" s="51" customFormat="1" ht="13.5" customHeight="1" x14ac:dyDescent="0.2"/>
    <row r="695" s="51" customFormat="1" ht="13.5" customHeight="1" x14ac:dyDescent="0.2"/>
    <row r="696" s="51" customFormat="1" ht="13.5" customHeight="1" x14ac:dyDescent="0.2"/>
    <row r="697" s="51" customFormat="1" ht="13.5" customHeight="1" x14ac:dyDescent="0.2"/>
    <row r="698" s="51" customFormat="1" ht="13.5" customHeight="1" x14ac:dyDescent="0.2"/>
    <row r="699" s="51" customFormat="1" ht="13.5" customHeight="1" x14ac:dyDescent="0.2"/>
    <row r="700" s="51" customFormat="1" ht="13.5" customHeight="1" x14ac:dyDescent="0.2"/>
    <row r="701" s="51" customFormat="1" ht="13.5" customHeight="1" x14ac:dyDescent="0.2"/>
    <row r="702" s="51" customFormat="1" ht="13.5" customHeight="1" x14ac:dyDescent="0.2"/>
    <row r="703" s="51" customFormat="1" ht="13.5" customHeight="1" x14ac:dyDescent="0.2"/>
    <row r="704" s="51" customFormat="1" ht="13.5" customHeight="1" x14ac:dyDescent="0.2"/>
    <row r="705" s="51" customFormat="1" ht="13.5" customHeight="1" x14ac:dyDescent="0.2"/>
    <row r="706" s="51" customFormat="1" ht="13.5" customHeight="1" x14ac:dyDescent="0.2"/>
    <row r="707" s="51" customFormat="1" ht="13.5" customHeight="1" x14ac:dyDescent="0.2"/>
    <row r="708" s="51" customFormat="1" ht="13.5" customHeight="1" x14ac:dyDescent="0.2"/>
    <row r="709" s="51" customFormat="1" ht="13.5" customHeight="1" x14ac:dyDescent="0.2"/>
    <row r="710" s="51" customFormat="1" ht="13.5" customHeight="1" x14ac:dyDescent="0.2"/>
    <row r="711" s="51" customFormat="1" ht="13.5" customHeight="1" x14ac:dyDescent="0.2"/>
    <row r="712" s="51" customFormat="1" ht="13.5" customHeight="1" x14ac:dyDescent="0.2"/>
    <row r="713" s="51" customFormat="1" ht="13.5" customHeight="1" x14ac:dyDescent="0.2"/>
    <row r="714" s="51" customFormat="1" ht="13.5" customHeight="1" x14ac:dyDescent="0.2"/>
    <row r="715" s="51" customFormat="1" ht="13.5" customHeight="1" x14ac:dyDescent="0.2"/>
    <row r="716" s="51" customFormat="1" ht="13.5" customHeight="1" x14ac:dyDescent="0.2"/>
    <row r="717" s="51" customFormat="1" ht="13.5" customHeight="1" x14ac:dyDescent="0.2"/>
    <row r="718" s="51" customFormat="1" ht="13.5" customHeight="1" x14ac:dyDescent="0.2"/>
    <row r="719" s="51" customFormat="1" ht="13.5" customHeight="1" x14ac:dyDescent="0.2"/>
    <row r="720" s="51" customFormat="1" ht="13.5" customHeight="1" x14ac:dyDescent="0.2"/>
    <row r="721" s="51" customFormat="1" ht="13.5" customHeight="1" x14ac:dyDescent="0.2"/>
    <row r="722" s="51" customFormat="1" ht="13.5" customHeight="1" x14ac:dyDescent="0.2"/>
    <row r="723" s="51" customFormat="1" ht="13.5" customHeight="1" x14ac:dyDescent="0.2"/>
    <row r="724" s="51" customFormat="1" ht="13.5" customHeight="1" x14ac:dyDescent="0.2"/>
    <row r="725" s="51" customFormat="1" ht="13.5" customHeight="1" x14ac:dyDescent="0.2"/>
    <row r="726" s="51" customFormat="1" ht="13.5" customHeight="1" x14ac:dyDescent="0.2"/>
    <row r="727" s="51" customFormat="1" ht="13.5" customHeight="1" x14ac:dyDescent="0.2"/>
    <row r="728" s="51" customFormat="1" ht="13.5" customHeight="1" x14ac:dyDescent="0.2"/>
    <row r="729" s="51" customFormat="1" ht="13.5" customHeight="1" x14ac:dyDescent="0.2"/>
    <row r="730" s="51" customFormat="1" ht="13.5" customHeight="1" x14ac:dyDescent="0.2"/>
    <row r="731" s="51" customFormat="1" ht="13.5" customHeight="1" x14ac:dyDescent="0.2"/>
    <row r="732" s="51" customFormat="1" ht="13.5" customHeight="1" x14ac:dyDescent="0.2"/>
    <row r="733" s="51" customFormat="1" ht="13.5" customHeight="1" x14ac:dyDescent="0.2"/>
    <row r="734" s="51" customFormat="1" ht="13.5" customHeight="1" x14ac:dyDescent="0.2"/>
    <row r="735" s="51" customFormat="1" ht="13.5" customHeight="1" x14ac:dyDescent="0.2"/>
    <row r="736" s="51" customFormat="1" ht="13.5" customHeight="1" x14ac:dyDescent="0.2"/>
    <row r="737" s="51" customFormat="1" ht="13.5" customHeight="1" x14ac:dyDescent="0.2"/>
    <row r="738" s="51" customFormat="1" ht="13.5" customHeight="1" x14ac:dyDescent="0.2"/>
    <row r="739" s="51" customFormat="1" ht="13.5" customHeight="1" x14ac:dyDescent="0.2"/>
    <row r="740" s="51" customFormat="1" ht="13.5" customHeight="1" x14ac:dyDescent="0.2"/>
    <row r="741" s="51" customFormat="1" ht="13.5" customHeight="1" x14ac:dyDescent="0.2"/>
    <row r="742" s="51" customFormat="1" ht="13.5" customHeight="1" x14ac:dyDescent="0.2"/>
    <row r="743" s="51" customFormat="1" ht="13.5" customHeight="1" x14ac:dyDescent="0.2"/>
    <row r="744" s="51" customFormat="1" ht="13.5" customHeight="1" x14ac:dyDescent="0.2"/>
    <row r="745" s="51" customFormat="1" ht="13.5" customHeight="1" x14ac:dyDescent="0.2"/>
    <row r="746" s="51" customFormat="1" ht="13.5" customHeight="1" x14ac:dyDescent="0.2"/>
    <row r="747" s="51" customFormat="1" ht="13.5" customHeight="1" x14ac:dyDescent="0.2"/>
    <row r="748" s="51" customFormat="1" ht="13.5" customHeight="1" x14ac:dyDescent="0.2"/>
    <row r="749" s="51" customFormat="1" ht="13.5" customHeight="1" x14ac:dyDescent="0.2"/>
    <row r="750" s="51" customFormat="1" ht="13.5" customHeight="1" x14ac:dyDescent="0.2"/>
    <row r="751" s="51" customFormat="1" ht="13.5" customHeight="1" x14ac:dyDescent="0.2"/>
    <row r="752" s="51" customFormat="1" ht="13.5" customHeight="1" x14ac:dyDescent="0.2"/>
    <row r="753" s="51" customFormat="1" ht="13.5" customHeight="1" x14ac:dyDescent="0.2"/>
    <row r="754" s="51" customFormat="1" ht="13.5" customHeight="1" x14ac:dyDescent="0.2"/>
    <row r="755" s="51" customFormat="1" ht="13.5" customHeight="1" x14ac:dyDescent="0.2"/>
    <row r="756" s="51" customFormat="1" ht="13.5" customHeight="1" x14ac:dyDescent="0.2"/>
    <row r="757" s="51" customFormat="1" ht="13.5" customHeight="1" x14ac:dyDescent="0.2"/>
    <row r="758" s="51" customFormat="1" ht="13.5" customHeight="1" x14ac:dyDescent="0.2"/>
    <row r="759" s="51" customFormat="1" ht="13.5" customHeight="1" x14ac:dyDescent="0.2"/>
    <row r="760" s="51" customFormat="1" ht="13.5" customHeight="1" x14ac:dyDescent="0.2"/>
    <row r="761" s="51" customFormat="1" ht="13.5" customHeight="1" x14ac:dyDescent="0.2"/>
    <row r="762" s="51" customFormat="1" ht="13.5" customHeight="1" x14ac:dyDescent="0.2"/>
    <row r="763" s="51" customFormat="1" ht="13.5" customHeight="1" x14ac:dyDescent="0.2"/>
    <row r="764" s="51" customFormat="1" ht="13.5" customHeight="1" x14ac:dyDescent="0.2"/>
    <row r="765" s="51" customFormat="1" ht="13.5" customHeight="1" x14ac:dyDescent="0.2"/>
    <row r="766" s="51" customFormat="1" ht="13.5" customHeight="1" x14ac:dyDescent="0.2"/>
    <row r="767" s="51" customFormat="1" ht="13.5" customHeight="1" x14ac:dyDescent="0.2"/>
    <row r="768" s="51" customFormat="1" ht="13.5" customHeight="1" x14ac:dyDescent="0.2"/>
    <row r="769" s="51" customFormat="1" ht="13.5" customHeight="1" x14ac:dyDescent="0.2"/>
    <row r="770" s="51" customFormat="1" ht="13.5" customHeight="1" x14ac:dyDescent="0.2"/>
    <row r="771" s="51" customFormat="1" ht="13.5" customHeight="1" x14ac:dyDescent="0.2"/>
    <row r="772" s="51" customFormat="1" ht="13.5" customHeight="1" x14ac:dyDescent="0.2"/>
    <row r="773" s="51" customFormat="1" ht="13.5" customHeight="1" x14ac:dyDescent="0.2"/>
    <row r="774" s="51" customFormat="1" ht="13.5" customHeight="1" x14ac:dyDescent="0.2"/>
    <row r="775" s="51" customFormat="1" ht="13.5" customHeight="1" x14ac:dyDescent="0.2"/>
    <row r="776" s="51" customFormat="1" ht="13.5" customHeight="1" x14ac:dyDescent="0.2"/>
    <row r="777" s="51" customFormat="1" ht="13.5" customHeight="1" x14ac:dyDescent="0.2"/>
    <row r="778" s="51" customFormat="1" ht="13.5" customHeight="1" x14ac:dyDescent="0.2"/>
    <row r="779" s="51" customFormat="1" ht="13.5" customHeight="1" x14ac:dyDescent="0.2"/>
    <row r="780" s="51" customFormat="1" ht="13.5" customHeight="1" x14ac:dyDescent="0.2"/>
    <row r="781" s="51" customFormat="1" ht="13.5" customHeight="1" x14ac:dyDescent="0.2"/>
    <row r="782" s="51" customFormat="1" ht="13.5" customHeight="1" x14ac:dyDescent="0.2"/>
    <row r="783" s="51" customFormat="1" ht="13.5" customHeight="1" x14ac:dyDescent="0.2"/>
    <row r="784" s="51" customFormat="1" ht="13.5" customHeight="1" x14ac:dyDescent="0.2"/>
    <row r="785" s="51" customFormat="1" ht="13.5" customHeight="1" x14ac:dyDescent="0.2"/>
    <row r="786" s="51" customFormat="1" ht="13.5" customHeight="1" x14ac:dyDescent="0.2"/>
    <row r="787" s="51" customFormat="1" ht="13.5" customHeight="1" x14ac:dyDescent="0.2"/>
    <row r="788" s="51" customFormat="1" ht="13.5" customHeight="1" x14ac:dyDescent="0.2"/>
    <row r="789" s="51" customFormat="1" ht="13.5" customHeight="1" x14ac:dyDescent="0.2"/>
    <row r="790" s="51" customFormat="1" ht="13.5" customHeight="1" x14ac:dyDescent="0.2"/>
    <row r="791" s="51" customFormat="1" ht="13.5" customHeight="1" x14ac:dyDescent="0.2"/>
    <row r="792" s="51" customFormat="1" ht="13.5" customHeight="1" x14ac:dyDescent="0.2"/>
    <row r="793" s="51" customFormat="1" ht="13.5" customHeight="1" x14ac:dyDescent="0.2"/>
    <row r="794" s="51" customFormat="1" ht="13.5" customHeight="1" x14ac:dyDescent="0.2"/>
    <row r="795" s="51" customFormat="1" ht="13.5" customHeight="1" x14ac:dyDescent="0.2"/>
    <row r="796" s="51" customFormat="1" ht="13.5" customHeight="1" x14ac:dyDescent="0.2"/>
    <row r="797" s="51" customFormat="1" ht="13.5" customHeight="1" x14ac:dyDescent="0.2"/>
    <row r="798" s="51" customFormat="1" ht="13.5" customHeight="1" x14ac:dyDescent="0.2"/>
    <row r="799" s="51" customFormat="1" ht="13.5" customHeight="1" x14ac:dyDescent="0.2"/>
    <row r="800" s="51" customFormat="1" ht="13.5" customHeight="1" x14ac:dyDescent="0.2"/>
    <row r="801" s="51" customFormat="1" ht="13.5" customHeight="1" x14ac:dyDescent="0.2"/>
    <row r="802" s="51" customFormat="1" ht="13.5" customHeight="1" x14ac:dyDescent="0.2"/>
    <row r="803" s="51" customFormat="1" ht="13.5" customHeight="1" x14ac:dyDescent="0.2"/>
    <row r="804" s="51" customFormat="1" ht="13.5" customHeight="1" x14ac:dyDescent="0.2"/>
    <row r="805" s="51" customFormat="1" ht="13.5" customHeight="1" x14ac:dyDescent="0.2"/>
    <row r="806" s="51" customFormat="1" ht="13.5" customHeight="1" x14ac:dyDescent="0.2"/>
    <row r="807" s="51" customFormat="1" ht="13.5" customHeight="1" x14ac:dyDescent="0.2"/>
    <row r="808" s="51" customFormat="1" ht="13.5" customHeight="1" x14ac:dyDescent="0.2"/>
    <row r="809" s="51" customFormat="1" ht="13.5" customHeight="1" x14ac:dyDescent="0.2"/>
    <row r="810" s="51" customFormat="1" ht="13.5" customHeight="1" x14ac:dyDescent="0.2"/>
    <row r="811" s="51" customFormat="1" ht="13.5" customHeight="1" x14ac:dyDescent="0.2"/>
    <row r="812" s="51" customFormat="1" ht="13.5" customHeight="1" x14ac:dyDescent="0.2"/>
    <row r="813" s="51" customFormat="1" ht="13.5" customHeight="1" x14ac:dyDescent="0.2"/>
    <row r="814" s="51" customFormat="1" ht="13.5" customHeight="1" x14ac:dyDescent="0.2"/>
    <row r="815" s="51" customFormat="1" ht="13.5" customHeight="1" x14ac:dyDescent="0.2"/>
    <row r="816" s="51" customFormat="1" ht="13.5" customHeight="1" x14ac:dyDescent="0.2"/>
    <row r="817" s="51" customFormat="1" ht="13.5" customHeight="1" x14ac:dyDescent="0.2"/>
    <row r="818" s="51" customFormat="1" ht="13.5" customHeight="1" x14ac:dyDescent="0.2"/>
    <row r="819" s="51" customFormat="1" ht="13.5" customHeight="1" x14ac:dyDescent="0.2"/>
    <row r="820" s="51" customFormat="1" ht="13.5" customHeight="1" x14ac:dyDescent="0.2"/>
    <row r="821" s="51" customFormat="1" ht="13.5" customHeight="1" x14ac:dyDescent="0.2"/>
    <row r="822" s="51" customFormat="1" ht="13.5" customHeight="1" x14ac:dyDescent="0.2"/>
    <row r="823" s="51" customFormat="1" ht="13.5" customHeight="1" x14ac:dyDescent="0.2"/>
    <row r="824" s="51" customFormat="1" ht="13.5" customHeight="1" x14ac:dyDescent="0.2"/>
    <row r="825" s="51" customFormat="1" ht="13.5" customHeight="1" x14ac:dyDescent="0.2"/>
    <row r="826" s="51" customFormat="1" ht="13.5" customHeight="1" x14ac:dyDescent="0.2"/>
    <row r="827" s="51" customFormat="1" ht="13.5" customHeight="1" x14ac:dyDescent="0.2"/>
    <row r="828" s="51" customFormat="1" ht="13.5" customHeight="1" x14ac:dyDescent="0.2"/>
    <row r="829" s="51" customFormat="1" ht="13.5" customHeight="1" x14ac:dyDescent="0.2"/>
    <row r="830" s="51" customFormat="1" ht="13.5" customHeight="1" x14ac:dyDescent="0.2"/>
    <row r="831" s="51" customFormat="1" ht="13.5" customHeight="1" x14ac:dyDescent="0.2"/>
    <row r="832" s="51" customFormat="1" ht="13.5" customHeight="1" x14ac:dyDescent="0.2"/>
    <row r="833" s="51" customFormat="1" ht="13.5" customHeight="1" x14ac:dyDescent="0.2"/>
    <row r="834" s="51" customFormat="1" ht="13.5" customHeight="1" x14ac:dyDescent="0.2"/>
    <row r="835" s="51" customFormat="1" ht="13.5" customHeight="1" x14ac:dyDescent="0.2"/>
    <row r="836" s="51" customFormat="1" ht="13.5" customHeight="1" x14ac:dyDescent="0.2"/>
    <row r="837" s="51" customFormat="1" ht="13.5" customHeight="1" x14ac:dyDescent="0.2"/>
    <row r="838" s="51" customFormat="1" ht="13.5" customHeight="1" x14ac:dyDescent="0.2"/>
    <row r="839" s="51" customFormat="1" ht="13.5" customHeight="1" x14ac:dyDescent="0.2"/>
    <row r="840" s="51" customFormat="1" ht="13.5" customHeight="1" x14ac:dyDescent="0.2"/>
    <row r="841" s="51" customFormat="1" ht="13.5" customHeight="1" x14ac:dyDescent="0.2"/>
    <row r="842" s="51" customFormat="1" ht="13.5" customHeight="1" x14ac:dyDescent="0.2"/>
    <row r="843" s="51" customFormat="1" ht="13.5" customHeight="1" x14ac:dyDescent="0.2"/>
    <row r="844" s="51" customFormat="1" ht="13.5" customHeight="1" x14ac:dyDescent="0.2"/>
    <row r="845" s="51" customFormat="1" ht="13.5" customHeight="1" x14ac:dyDescent="0.2"/>
    <row r="846" s="51" customFormat="1" ht="13.5" customHeight="1" x14ac:dyDescent="0.2"/>
    <row r="847" s="51" customFormat="1" ht="13.5" customHeight="1" x14ac:dyDescent="0.2"/>
    <row r="848" s="51" customFormat="1" ht="13.5" customHeight="1" x14ac:dyDescent="0.2"/>
    <row r="849" s="51" customFormat="1" ht="13.5" customHeight="1" x14ac:dyDescent="0.2"/>
    <row r="850" s="51" customFormat="1" ht="13.5" customHeight="1" x14ac:dyDescent="0.2"/>
    <row r="851" s="51" customFormat="1" ht="13.5" customHeight="1" x14ac:dyDescent="0.2"/>
    <row r="852" s="51" customFormat="1" ht="13.5" customHeight="1" x14ac:dyDescent="0.2"/>
    <row r="853" s="51" customFormat="1" ht="13.5" customHeight="1" x14ac:dyDescent="0.2"/>
    <row r="854" s="51" customFormat="1" ht="13.5" customHeight="1" x14ac:dyDescent="0.2"/>
    <row r="855" s="51" customFormat="1" ht="13.5" customHeight="1" x14ac:dyDescent="0.2"/>
    <row r="856" s="51" customFormat="1" ht="13.5" customHeight="1" x14ac:dyDescent="0.2"/>
    <row r="857" s="51" customFormat="1" ht="13.5" customHeight="1" x14ac:dyDescent="0.2"/>
    <row r="858" s="51" customFormat="1" ht="13.5" customHeight="1" x14ac:dyDescent="0.2"/>
    <row r="859" s="51" customFormat="1" ht="13.5" customHeight="1" x14ac:dyDescent="0.2"/>
    <row r="860" s="51" customFormat="1" ht="13.5" customHeight="1" x14ac:dyDescent="0.2"/>
    <row r="861" s="51" customFormat="1" ht="13.5" customHeight="1" x14ac:dyDescent="0.2"/>
    <row r="862" s="51" customFormat="1" ht="13.5" customHeight="1" x14ac:dyDescent="0.2"/>
    <row r="863" s="51" customFormat="1" ht="13.5" customHeight="1" x14ac:dyDescent="0.2"/>
    <row r="864" s="51" customFormat="1" ht="13.5" customHeight="1" x14ac:dyDescent="0.2"/>
    <row r="865" s="51" customFormat="1" ht="13.5" customHeight="1" x14ac:dyDescent="0.2"/>
    <row r="866" s="51" customFormat="1" ht="13.5" customHeight="1" x14ac:dyDescent="0.2"/>
    <row r="867" s="51" customFormat="1" ht="13.5" customHeight="1" x14ac:dyDescent="0.2"/>
    <row r="868" s="51" customFormat="1" ht="13.5" customHeight="1" x14ac:dyDescent="0.2"/>
    <row r="869" s="51" customFormat="1" ht="13.5" customHeight="1" x14ac:dyDescent="0.2"/>
    <row r="870" s="51" customFormat="1" ht="13.5" customHeight="1" x14ac:dyDescent="0.2"/>
    <row r="871" s="51" customFormat="1" ht="13.5" customHeight="1" x14ac:dyDescent="0.2"/>
    <row r="872" s="51" customFormat="1" ht="13.5" customHeight="1" x14ac:dyDescent="0.2"/>
    <row r="873" s="51" customFormat="1" ht="13.5" customHeight="1" x14ac:dyDescent="0.2"/>
    <row r="874" s="51" customFormat="1" ht="13.5" customHeight="1" x14ac:dyDescent="0.2"/>
    <row r="875" s="51" customFormat="1" ht="13.5" customHeight="1" x14ac:dyDescent="0.2"/>
    <row r="876" s="51" customFormat="1" ht="13.5" customHeight="1" x14ac:dyDescent="0.2"/>
    <row r="877" s="51" customFormat="1" ht="13.5" customHeight="1" x14ac:dyDescent="0.2"/>
    <row r="878" s="51" customFormat="1" ht="13.5" customHeight="1" x14ac:dyDescent="0.2"/>
    <row r="879" s="51" customFormat="1" ht="13.5" customHeight="1" x14ac:dyDescent="0.2"/>
    <row r="880" s="51" customFormat="1" ht="13.5" customHeight="1" x14ac:dyDescent="0.2"/>
    <row r="881" s="51" customFormat="1" ht="13.5" customHeight="1" x14ac:dyDescent="0.2"/>
    <row r="882" s="51" customFormat="1" ht="13.5" customHeight="1" x14ac:dyDescent="0.2"/>
    <row r="883" s="51" customFormat="1" ht="13.5" customHeight="1" x14ac:dyDescent="0.2"/>
    <row r="884" s="51" customFormat="1" ht="13.5" customHeight="1" x14ac:dyDescent="0.2"/>
    <row r="885" s="51" customFormat="1" ht="13.5" customHeight="1" x14ac:dyDescent="0.2"/>
    <row r="886" s="51" customFormat="1" ht="13.5" customHeight="1" x14ac:dyDescent="0.2"/>
    <row r="887" s="51" customFormat="1" ht="13.5" customHeight="1" x14ac:dyDescent="0.2"/>
    <row r="888" s="51" customFormat="1" ht="13.5" customHeight="1" x14ac:dyDescent="0.2"/>
    <row r="889" s="51" customFormat="1" ht="13.5" customHeight="1" x14ac:dyDescent="0.2"/>
    <row r="890" s="51" customFormat="1" ht="13.5" customHeight="1" x14ac:dyDescent="0.2"/>
    <row r="891" s="51" customFormat="1" ht="13.5" customHeight="1" x14ac:dyDescent="0.2"/>
    <row r="892" s="51" customFormat="1" ht="13.5" customHeight="1" x14ac:dyDescent="0.2"/>
    <row r="893" s="51" customFormat="1" ht="13.5" customHeight="1" x14ac:dyDescent="0.2"/>
    <row r="894" s="51" customFormat="1" ht="13.5" customHeight="1" x14ac:dyDescent="0.2"/>
    <row r="895" s="51" customFormat="1" ht="13.5" customHeight="1" x14ac:dyDescent="0.2"/>
    <row r="896" s="51" customFormat="1" ht="13.5" customHeight="1" x14ac:dyDescent="0.2"/>
    <row r="897" s="51" customFormat="1" ht="13.5" customHeight="1" x14ac:dyDescent="0.2"/>
    <row r="898" s="51" customFormat="1" ht="13.5" customHeight="1" x14ac:dyDescent="0.2"/>
    <row r="899" s="51" customFormat="1" ht="13.5" customHeight="1" x14ac:dyDescent="0.2"/>
    <row r="900" s="51" customFormat="1" ht="13.5" customHeight="1" x14ac:dyDescent="0.2"/>
    <row r="901" s="51" customFormat="1" ht="13.5" customHeight="1" x14ac:dyDescent="0.2"/>
    <row r="902" s="51" customFormat="1" ht="13.5" customHeight="1" x14ac:dyDescent="0.2"/>
    <row r="903" s="51" customFormat="1" ht="13.5" customHeight="1" x14ac:dyDescent="0.2"/>
    <row r="904" s="51" customFormat="1" ht="13.5" customHeight="1" x14ac:dyDescent="0.2"/>
    <row r="905" s="51" customFormat="1" ht="13.5" customHeight="1" x14ac:dyDescent="0.2"/>
    <row r="906" s="51" customFormat="1" ht="13.5" customHeight="1" x14ac:dyDescent="0.2"/>
    <row r="907" s="51" customFormat="1" ht="13.5" customHeight="1" x14ac:dyDescent="0.2"/>
    <row r="908" s="51" customFormat="1" ht="13.5" customHeight="1" x14ac:dyDescent="0.2"/>
    <row r="909" s="51" customFormat="1" ht="13.5" customHeight="1" x14ac:dyDescent="0.2"/>
    <row r="910" s="51" customFormat="1" ht="13.5" customHeight="1" x14ac:dyDescent="0.2"/>
    <row r="911" s="51" customFormat="1" ht="13.5" customHeight="1" x14ac:dyDescent="0.2"/>
    <row r="912" s="51" customFormat="1" ht="13.5" customHeight="1" x14ac:dyDescent="0.2"/>
    <row r="913" s="51" customFormat="1" ht="13.5" customHeight="1" x14ac:dyDescent="0.2"/>
    <row r="914" s="51" customFormat="1" ht="13.5" customHeight="1" x14ac:dyDescent="0.2"/>
    <row r="915" s="51" customFormat="1" ht="13.5" customHeight="1" x14ac:dyDescent="0.2"/>
    <row r="916" s="51" customFormat="1" ht="13.5" customHeight="1" x14ac:dyDescent="0.2"/>
    <row r="917" s="51" customFormat="1" ht="13.5" customHeight="1" x14ac:dyDescent="0.2"/>
    <row r="918" s="51" customFormat="1" ht="13.5" customHeight="1" x14ac:dyDescent="0.2"/>
    <row r="919" s="51" customFormat="1" ht="13.5" customHeight="1" x14ac:dyDescent="0.2"/>
    <row r="920" s="51" customFormat="1" ht="13.5" customHeight="1" x14ac:dyDescent="0.2"/>
    <row r="921" s="51" customFormat="1" ht="13.5" customHeight="1" x14ac:dyDescent="0.2"/>
    <row r="922" s="51" customFormat="1" ht="13.5" customHeight="1" x14ac:dyDescent="0.2"/>
    <row r="923" s="51" customFormat="1" ht="13.5" customHeight="1" x14ac:dyDescent="0.2"/>
    <row r="924" s="51" customFormat="1" ht="13.5" customHeight="1" x14ac:dyDescent="0.2"/>
    <row r="925" s="51" customFormat="1" ht="13.5" customHeight="1" x14ac:dyDescent="0.2"/>
    <row r="926" s="51" customFormat="1" ht="13.5" customHeight="1" x14ac:dyDescent="0.2"/>
    <row r="927" s="51" customFormat="1" ht="13.5" customHeight="1" x14ac:dyDescent="0.2"/>
    <row r="928" s="51" customFormat="1" ht="13.5" customHeight="1" x14ac:dyDescent="0.2"/>
    <row r="929" s="51" customFormat="1" ht="13.5" customHeight="1" x14ac:dyDescent="0.2"/>
    <row r="930" s="51" customFormat="1" ht="13.5" customHeight="1" x14ac:dyDescent="0.2"/>
    <row r="931" s="51" customFormat="1" ht="13.5" customHeight="1" x14ac:dyDescent="0.2"/>
    <row r="932" s="51" customFormat="1" ht="13.5" customHeight="1" x14ac:dyDescent="0.2"/>
    <row r="933" s="51" customFormat="1" ht="13.5" customHeight="1" x14ac:dyDescent="0.2"/>
    <row r="934" s="51" customFormat="1" ht="13.5" customHeight="1" x14ac:dyDescent="0.2"/>
    <row r="935" s="51" customFormat="1" ht="13.5" customHeight="1" x14ac:dyDescent="0.2"/>
    <row r="936" s="51" customFormat="1" ht="13.5" customHeight="1" x14ac:dyDescent="0.2"/>
    <row r="937" s="51" customFormat="1" ht="13.5" customHeight="1" x14ac:dyDescent="0.2"/>
    <row r="938" s="51" customFormat="1" ht="13.5" customHeight="1" x14ac:dyDescent="0.2"/>
    <row r="939" s="51" customFormat="1" ht="13.5" customHeight="1" x14ac:dyDescent="0.2"/>
    <row r="940" s="51" customFormat="1" ht="13.5" customHeight="1" x14ac:dyDescent="0.2"/>
    <row r="941" s="51" customFormat="1" ht="13.5" customHeight="1" x14ac:dyDescent="0.2"/>
    <row r="942" s="51" customFormat="1" ht="13.5" customHeight="1" x14ac:dyDescent="0.2"/>
    <row r="943" s="51" customFormat="1" ht="13.5" customHeight="1" x14ac:dyDescent="0.2"/>
    <row r="944" s="51" customFormat="1" ht="13.5" customHeight="1" x14ac:dyDescent="0.2"/>
    <row r="945" s="51" customFormat="1" ht="13.5" customHeight="1" x14ac:dyDescent="0.2"/>
    <row r="946" s="51" customFormat="1" ht="13.5" customHeight="1" x14ac:dyDescent="0.2"/>
    <row r="947" s="51" customFormat="1" ht="13.5" customHeight="1" x14ac:dyDescent="0.2"/>
    <row r="948" s="51" customFormat="1" ht="13.5" customHeight="1" x14ac:dyDescent="0.2"/>
    <row r="949" s="51" customFormat="1" ht="13.5" customHeight="1" x14ac:dyDescent="0.2"/>
    <row r="950" s="51" customFormat="1" ht="13.5" customHeight="1" x14ac:dyDescent="0.2"/>
    <row r="951" s="51" customFormat="1" ht="13.5" customHeight="1" x14ac:dyDescent="0.2"/>
    <row r="952" s="51" customFormat="1" ht="13.5" customHeight="1" x14ac:dyDescent="0.2"/>
    <row r="953" s="51" customFormat="1" ht="13.5" customHeight="1" x14ac:dyDescent="0.2"/>
    <row r="954" s="51" customFormat="1" ht="13.5" customHeight="1" x14ac:dyDescent="0.2"/>
    <row r="955" s="51" customFormat="1" ht="13.5" customHeight="1" x14ac:dyDescent="0.2"/>
    <row r="956" s="51" customFormat="1" ht="13.5" customHeight="1" x14ac:dyDescent="0.2"/>
    <row r="957" s="51" customFormat="1" ht="13.5" customHeight="1" x14ac:dyDescent="0.2"/>
    <row r="958" s="51" customFormat="1" ht="13.5" customHeight="1" x14ac:dyDescent="0.2"/>
    <row r="959" s="51" customFormat="1" ht="13.5" customHeight="1" x14ac:dyDescent="0.2"/>
    <row r="960" s="51" customFormat="1" ht="13.5" customHeight="1" x14ac:dyDescent="0.2"/>
    <row r="961" s="51" customFormat="1" ht="13.5" customHeight="1" x14ac:dyDescent="0.2"/>
    <row r="962" s="51" customFormat="1" ht="13.5" customHeight="1" x14ac:dyDescent="0.2"/>
    <row r="963" s="51" customFormat="1" ht="13.5" customHeight="1" x14ac:dyDescent="0.2"/>
    <row r="964" s="51" customFormat="1" ht="13.5" customHeight="1" x14ac:dyDescent="0.2"/>
    <row r="965" s="51" customFormat="1" ht="13.5" customHeight="1" x14ac:dyDescent="0.2"/>
    <row r="966" s="51" customFormat="1" ht="13.5" customHeight="1" x14ac:dyDescent="0.2"/>
    <row r="967" s="51" customFormat="1" ht="13.5" customHeight="1" x14ac:dyDescent="0.2"/>
    <row r="968" s="51" customFormat="1" ht="13.5" customHeight="1" x14ac:dyDescent="0.2"/>
    <row r="969" s="51" customFormat="1" ht="13.5" customHeight="1" x14ac:dyDescent="0.2"/>
    <row r="970" s="51" customFormat="1" ht="13.5" customHeight="1" x14ac:dyDescent="0.2"/>
    <row r="971" s="51" customFormat="1" ht="13.5" customHeight="1" x14ac:dyDescent="0.2"/>
    <row r="972" s="51" customFormat="1" ht="13.5" customHeight="1" x14ac:dyDescent="0.2"/>
    <row r="973" s="51" customFormat="1" ht="13.5" customHeight="1" x14ac:dyDescent="0.2"/>
    <row r="974" s="51" customFormat="1" ht="13.5" customHeight="1" x14ac:dyDescent="0.2"/>
    <row r="975" s="51" customFormat="1" ht="13.5" customHeight="1" x14ac:dyDescent="0.2"/>
    <row r="976" s="51" customFormat="1" ht="13.5" customHeight="1" x14ac:dyDescent="0.2"/>
    <row r="977" s="51" customFormat="1" ht="13.5" customHeight="1" x14ac:dyDescent="0.2"/>
    <row r="978" s="51" customFormat="1" ht="13.5" customHeight="1" x14ac:dyDescent="0.2"/>
    <row r="979" s="51" customFormat="1" ht="13.5" customHeight="1" x14ac:dyDescent="0.2"/>
    <row r="980" s="51" customFormat="1" ht="13.5" customHeight="1" x14ac:dyDescent="0.2"/>
    <row r="981" s="51" customFormat="1" ht="13.5" customHeight="1" x14ac:dyDescent="0.2"/>
    <row r="982" s="51" customFormat="1" ht="13.5" customHeight="1" x14ac:dyDescent="0.2"/>
    <row r="983" s="51" customFormat="1" ht="13.5" customHeight="1" x14ac:dyDescent="0.2"/>
    <row r="984" s="51" customFormat="1" ht="13.5" customHeight="1" x14ac:dyDescent="0.2"/>
    <row r="985" s="51" customFormat="1" ht="13.5" customHeight="1" x14ac:dyDescent="0.2"/>
    <row r="986" s="51" customFormat="1" ht="13.5" customHeight="1" x14ac:dyDescent="0.2"/>
    <row r="987" s="51" customFormat="1" ht="13.5" customHeight="1" x14ac:dyDescent="0.2"/>
    <row r="988" s="51" customFormat="1" ht="13.5" customHeight="1" x14ac:dyDescent="0.2"/>
    <row r="989" s="51" customFormat="1" ht="13.5" customHeight="1" x14ac:dyDescent="0.2"/>
    <row r="990" s="51" customFormat="1" ht="13.5" customHeight="1" x14ac:dyDescent="0.2"/>
    <row r="991" s="51" customFormat="1" ht="13.5" customHeight="1" x14ac:dyDescent="0.2"/>
    <row r="992" s="51" customFormat="1" ht="13.5" customHeight="1" x14ac:dyDescent="0.2"/>
    <row r="993" s="51" customFormat="1" ht="13.5" customHeight="1" x14ac:dyDescent="0.2"/>
    <row r="994" s="51" customFormat="1" ht="13.5" customHeight="1" x14ac:dyDescent="0.2"/>
    <row r="995" s="51" customFormat="1" ht="13.5" customHeight="1" x14ac:dyDescent="0.2"/>
    <row r="996" s="51" customFormat="1" ht="13.5" customHeight="1" x14ac:dyDescent="0.2"/>
    <row r="997" s="51" customFormat="1" ht="13.5" customHeight="1" x14ac:dyDescent="0.2"/>
    <row r="998" s="51" customFormat="1" ht="13.5" customHeight="1" x14ac:dyDescent="0.2"/>
    <row r="999" s="51" customFormat="1" ht="13.5" customHeight="1" x14ac:dyDescent="0.2"/>
    <row r="1000" s="51" customFormat="1" ht="13.5" customHeight="1" x14ac:dyDescent="0.2"/>
  </sheetData>
  <mergeCells count="6">
    <mergeCell ref="B31:N31"/>
    <mergeCell ref="B2:N3"/>
    <mergeCell ref="B4:N4"/>
    <mergeCell ref="B8:N8"/>
    <mergeCell ref="B20:N20"/>
    <mergeCell ref="B24:N24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F170D-6923-F24A-9E55-1D0769B0AE67}">
  <sheetPr>
    <tabColor rgb="FF263238"/>
  </sheetPr>
  <dimension ref="B2:O1001"/>
  <sheetViews>
    <sheetView showGridLines="0" workbookViewId="0">
      <selection activeCell="B23" sqref="B23:N23"/>
    </sheetView>
  </sheetViews>
  <sheetFormatPr baseColWidth="10" defaultColWidth="12.6640625" defaultRowHeight="15" customHeight="1" x14ac:dyDescent="0.2"/>
  <cols>
    <col min="1" max="1" width="3.33203125" style="51" customWidth="1"/>
    <col min="2" max="2" width="3" style="51" customWidth="1"/>
    <col min="3" max="3" width="12" style="51" customWidth="1"/>
    <col min="4" max="4" width="3" style="51" customWidth="1"/>
    <col min="5" max="9" width="18" style="51" customWidth="1"/>
    <col min="10" max="27" width="8.83203125" style="51" customWidth="1"/>
    <col min="28" max="16384" width="12.6640625" style="51"/>
  </cols>
  <sheetData>
    <row r="2" spans="2:15" ht="13.5" customHeight="1" x14ac:dyDescent="0.2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2:15" ht="13.5" customHeight="1" x14ac:dyDescent="0.2">
      <c r="B3" s="36"/>
      <c r="C3" s="57" t="s">
        <v>330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9"/>
    </row>
    <row r="4" spans="2:15" ht="13.5" customHeight="1" x14ac:dyDescent="0.2">
      <c r="B4" s="36"/>
      <c r="C4" s="60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2"/>
    </row>
    <row r="5" spans="2:15" ht="13.5" customHeight="1" x14ac:dyDescent="0.2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2:15" ht="13.5" customHeight="1" x14ac:dyDescent="0.2">
      <c r="B6" s="36"/>
      <c r="C6" s="37" t="s">
        <v>58</v>
      </c>
      <c r="D6" s="36"/>
      <c r="E6" s="73" t="s">
        <v>331</v>
      </c>
      <c r="F6" s="67"/>
      <c r="G6" s="67"/>
      <c r="H6" s="67"/>
      <c r="I6" s="68"/>
      <c r="J6" s="36"/>
      <c r="K6" s="36"/>
      <c r="L6" s="36"/>
      <c r="M6" s="36"/>
      <c r="N6" s="36"/>
      <c r="O6" s="36"/>
    </row>
    <row r="7" spans="2:15" ht="13.5" customHeight="1" x14ac:dyDescent="0.2">
      <c r="B7" s="36"/>
      <c r="C7" s="37" t="s">
        <v>59</v>
      </c>
      <c r="D7" s="36"/>
      <c r="E7" s="73" t="s">
        <v>332</v>
      </c>
      <c r="F7" s="67"/>
      <c r="G7" s="67"/>
      <c r="H7" s="67"/>
      <c r="I7" s="68"/>
      <c r="J7" s="36"/>
      <c r="K7" s="36"/>
      <c r="L7" s="36"/>
      <c r="M7" s="36"/>
      <c r="N7" s="36"/>
      <c r="O7" s="36"/>
    </row>
    <row r="8" spans="2:15" ht="13.5" customHeight="1" x14ac:dyDescent="0.2">
      <c r="B8" s="36"/>
      <c r="C8" s="37" t="s">
        <v>60</v>
      </c>
      <c r="D8" s="36"/>
      <c r="E8" s="73" t="s">
        <v>333</v>
      </c>
      <c r="F8" s="67"/>
      <c r="G8" s="67"/>
      <c r="H8" s="67"/>
      <c r="I8" s="68"/>
      <c r="J8" s="36"/>
      <c r="K8" s="36"/>
      <c r="L8" s="36"/>
      <c r="M8" s="36"/>
      <c r="N8" s="36"/>
      <c r="O8" s="36"/>
    </row>
    <row r="9" spans="2:15" ht="13.5" customHeight="1" x14ac:dyDescent="0.2"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2:15" ht="13.5" customHeight="1" x14ac:dyDescent="0.2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2:15" ht="13.5" customHeight="1" x14ac:dyDescent="0.2"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2:15" ht="13.5" customHeight="1" x14ac:dyDescent="0.2"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</row>
    <row r="13" spans="2:15" ht="13.5" customHeight="1" x14ac:dyDescent="0.2"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</row>
    <row r="14" spans="2:15" ht="13.5" customHeight="1" x14ac:dyDescent="0.2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</row>
    <row r="15" spans="2:15" ht="13.5" customHeigh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</row>
    <row r="16" spans="2:15" ht="13.5" customHeight="1" x14ac:dyDescent="0.2"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7" spans="2:15" ht="13.5" customHeight="1" x14ac:dyDescent="0.2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18" spans="2:15" ht="13.5" customHeigh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2:15" ht="13.5" customHeight="1" x14ac:dyDescent="0.2"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pans="2:15" ht="13.5" customHeight="1" x14ac:dyDescent="0.2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1" spans="2:15" ht="13.5" customHeight="1" x14ac:dyDescent="0.2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2:15" ht="13.5" customHeight="1" x14ac:dyDescent="0.2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</row>
    <row r="23" spans="2:15" ht="13.5" customHeight="1" x14ac:dyDescent="0.2"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</row>
    <row r="24" spans="2:15" ht="13.5" customHeight="1" x14ac:dyDescent="0.2"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</row>
    <row r="25" spans="2:15" ht="13.5" customHeight="1" x14ac:dyDescent="0.2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2:15" ht="13.5" customHeight="1" x14ac:dyDescent="0.2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</row>
    <row r="27" spans="2:15" ht="13.5" customHeight="1" x14ac:dyDescent="0.2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</row>
    <row r="28" spans="2:15" ht="13.5" customHeight="1" x14ac:dyDescent="0.2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</row>
    <row r="29" spans="2:15" ht="13.5" customHeight="1" x14ac:dyDescent="0.2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</row>
    <row r="30" spans="2:15" ht="13.5" customHeight="1" x14ac:dyDescent="0.2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</row>
    <row r="31" spans="2:15" ht="13.5" customHeight="1" x14ac:dyDescent="0.2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2" spans="2:15" ht="13.5" customHeight="1" x14ac:dyDescent="0.2"/>
    <row r="33" s="51" customFormat="1" ht="13.5" customHeight="1" x14ac:dyDescent="0.2"/>
    <row r="34" s="51" customFormat="1" ht="13.5" customHeight="1" x14ac:dyDescent="0.2"/>
    <row r="35" s="51" customFormat="1" ht="13.5" customHeight="1" x14ac:dyDescent="0.2"/>
    <row r="36" s="51" customFormat="1" ht="13.5" customHeight="1" x14ac:dyDescent="0.2"/>
    <row r="37" s="51" customFormat="1" ht="13.5" customHeight="1" x14ac:dyDescent="0.2"/>
    <row r="38" s="51" customFormat="1" ht="13.5" customHeight="1" x14ac:dyDescent="0.2"/>
    <row r="39" s="51" customFormat="1" ht="13.5" customHeight="1" x14ac:dyDescent="0.2"/>
    <row r="40" s="51" customFormat="1" ht="13.5" customHeight="1" x14ac:dyDescent="0.2"/>
    <row r="41" s="51" customFormat="1" ht="13.5" customHeight="1" x14ac:dyDescent="0.2"/>
    <row r="42" s="51" customFormat="1" ht="13.5" customHeight="1" x14ac:dyDescent="0.2"/>
    <row r="43" s="51" customFormat="1" ht="13.5" customHeight="1" x14ac:dyDescent="0.2"/>
    <row r="44" s="51" customFormat="1" ht="13.5" customHeight="1" x14ac:dyDescent="0.2"/>
    <row r="45" s="51" customFormat="1" ht="13.5" customHeight="1" x14ac:dyDescent="0.2"/>
    <row r="46" s="51" customFormat="1" ht="13.5" customHeight="1" x14ac:dyDescent="0.2"/>
    <row r="47" s="51" customFormat="1" ht="13.5" customHeight="1" x14ac:dyDescent="0.2"/>
    <row r="48" s="51" customFormat="1" ht="13.5" customHeight="1" x14ac:dyDescent="0.2"/>
    <row r="49" s="51" customFormat="1" ht="13.5" customHeight="1" x14ac:dyDescent="0.2"/>
    <row r="50" s="51" customFormat="1" ht="13.5" customHeight="1" x14ac:dyDescent="0.2"/>
    <row r="51" s="51" customFormat="1" ht="13.5" customHeight="1" x14ac:dyDescent="0.2"/>
    <row r="52" s="51" customFormat="1" ht="13.5" customHeight="1" x14ac:dyDescent="0.2"/>
    <row r="53" s="51" customFormat="1" ht="13.5" customHeight="1" x14ac:dyDescent="0.2"/>
    <row r="54" s="51" customFormat="1" ht="13.5" customHeight="1" x14ac:dyDescent="0.2"/>
    <row r="55" s="51" customFormat="1" ht="13.5" customHeight="1" x14ac:dyDescent="0.2"/>
    <row r="56" s="51" customFormat="1" ht="13.5" customHeight="1" x14ac:dyDescent="0.2"/>
    <row r="57" s="51" customFormat="1" ht="13.5" customHeight="1" x14ac:dyDescent="0.2"/>
    <row r="58" s="51" customFormat="1" ht="13.5" customHeight="1" x14ac:dyDescent="0.2"/>
    <row r="59" s="51" customFormat="1" ht="13.5" customHeight="1" x14ac:dyDescent="0.2"/>
    <row r="60" s="51" customFormat="1" ht="13.5" customHeight="1" x14ac:dyDescent="0.2"/>
    <row r="61" s="51" customFormat="1" ht="13.5" customHeight="1" x14ac:dyDescent="0.2"/>
    <row r="62" s="51" customFormat="1" ht="13.5" customHeight="1" x14ac:dyDescent="0.2"/>
    <row r="63" s="51" customFormat="1" ht="13.5" customHeight="1" x14ac:dyDescent="0.2"/>
    <row r="64" s="51" customFormat="1" ht="13.5" customHeight="1" x14ac:dyDescent="0.2"/>
    <row r="65" s="51" customFormat="1" ht="13.5" customHeight="1" x14ac:dyDescent="0.2"/>
    <row r="66" s="51" customFormat="1" ht="13.5" customHeight="1" x14ac:dyDescent="0.2"/>
    <row r="67" s="51" customFormat="1" ht="13.5" customHeight="1" x14ac:dyDescent="0.2"/>
    <row r="68" s="51" customFormat="1" ht="13.5" customHeight="1" x14ac:dyDescent="0.2"/>
    <row r="69" s="51" customFormat="1" ht="13.5" customHeight="1" x14ac:dyDescent="0.2"/>
    <row r="70" s="51" customFormat="1" ht="13.5" customHeight="1" x14ac:dyDescent="0.2"/>
    <row r="71" s="51" customFormat="1" ht="13.5" customHeight="1" x14ac:dyDescent="0.2"/>
    <row r="72" s="51" customFormat="1" ht="13.5" customHeight="1" x14ac:dyDescent="0.2"/>
    <row r="73" s="51" customFormat="1" ht="13.5" customHeight="1" x14ac:dyDescent="0.2"/>
    <row r="74" s="51" customFormat="1" ht="13.5" customHeight="1" x14ac:dyDescent="0.2"/>
    <row r="75" s="51" customFormat="1" ht="13.5" customHeight="1" x14ac:dyDescent="0.2"/>
    <row r="76" s="51" customFormat="1" ht="13.5" customHeight="1" x14ac:dyDescent="0.2"/>
    <row r="77" s="51" customFormat="1" ht="13.5" customHeight="1" x14ac:dyDescent="0.2"/>
    <row r="78" s="51" customFormat="1" ht="13.5" customHeight="1" x14ac:dyDescent="0.2"/>
    <row r="79" s="51" customFormat="1" ht="13.5" customHeight="1" x14ac:dyDescent="0.2"/>
    <row r="80" s="51" customFormat="1" ht="13.5" customHeight="1" x14ac:dyDescent="0.2"/>
    <row r="81" s="51" customFormat="1" ht="13.5" customHeight="1" x14ac:dyDescent="0.2"/>
    <row r="82" s="51" customFormat="1" ht="13.5" customHeight="1" x14ac:dyDescent="0.2"/>
    <row r="83" s="51" customFormat="1" ht="13.5" customHeight="1" x14ac:dyDescent="0.2"/>
    <row r="84" s="51" customFormat="1" ht="13.5" customHeight="1" x14ac:dyDescent="0.2"/>
    <row r="85" s="51" customFormat="1" ht="13.5" customHeight="1" x14ac:dyDescent="0.2"/>
    <row r="86" s="51" customFormat="1" ht="13.5" customHeight="1" x14ac:dyDescent="0.2"/>
    <row r="87" s="51" customFormat="1" ht="13.5" customHeight="1" x14ac:dyDescent="0.2"/>
    <row r="88" s="51" customFormat="1" ht="13.5" customHeight="1" x14ac:dyDescent="0.2"/>
    <row r="89" s="51" customFormat="1" ht="13.5" customHeight="1" x14ac:dyDescent="0.2"/>
    <row r="90" s="51" customFormat="1" ht="13.5" customHeight="1" x14ac:dyDescent="0.2"/>
    <row r="91" s="51" customFormat="1" ht="13.5" customHeight="1" x14ac:dyDescent="0.2"/>
    <row r="92" s="51" customFormat="1" ht="13.5" customHeight="1" x14ac:dyDescent="0.2"/>
    <row r="93" s="51" customFormat="1" ht="13.5" customHeight="1" x14ac:dyDescent="0.2"/>
    <row r="94" s="51" customFormat="1" ht="13.5" customHeight="1" x14ac:dyDescent="0.2"/>
    <row r="95" s="51" customFormat="1" ht="13.5" customHeight="1" x14ac:dyDescent="0.2"/>
    <row r="96" s="51" customFormat="1" ht="13.5" customHeight="1" x14ac:dyDescent="0.2"/>
    <row r="97" s="51" customFormat="1" ht="13.5" customHeight="1" x14ac:dyDescent="0.2"/>
    <row r="98" s="51" customFormat="1" ht="13.5" customHeight="1" x14ac:dyDescent="0.2"/>
    <row r="99" s="51" customFormat="1" ht="13.5" customHeight="1" x14ac:dyDescent="0.2"/>
    <row r="100" s="51" customFormat="1" ht="13.5" customHeight="1" x14ac:dyDescent="0.2"/>
    <row r="101" s="51" customFormat="1" ht="13.5" customHeight="1" x14ac:dyDescent="0.2"/>
    <row r="102" s="51" customFormat="1" ht="13.5" customHeight="1" x14ac:dyDescent="0.2"/>
    <row r="103" s="51" customFormat="1" ht="13.5" customHeight="1" x14ac:dyDescent="0.2"/>
    <row r="104" s="51" customFormat="1" ht="13.5" customHeight="1" x14ac:dyDescent="0.2"/>
    <row r="105" s="51" customFormat="1" ht="13.5" customHeight="1" x14ac:dyDescent="0.2"/>
    <row r="106" s="51" customFormat="1" ht="13.5" customHeight="1" x14ac:dyDescent="0.2"/>
    <row r="107" s="51" customFormat="1" ht="13.5" customHeight="1" x14ac:dyDescent="0.2"/>
    <row r="108" s="51" customFormat="1" ht="13.5" customHeight="1" x14ac:dyDescent="0.2"/>
    <row r="109" s="51" customFormat="1" ht="13.5" customHeight="1" x14ac:dyDescent="0.2"/>
    <row r="110" s="51" customFormat="1" ht="13.5" customHeight="1" x14ac:dyDescent="0.2"/>
    <row r="111" s="51" customFormat="1" ht="13.5" customHeight="1" x14ac:dyDescent="0.2"/>
    <row r="112" s="51" customFormat="1" ht="13.5" customHeight="1" x14ac:dyDescent="0.2"/>
    <row r="113" s="51" customFormat="1" ht="13.5" customHeight="1" x14ac:dyDescent="0.2"/>
    <row r="114" s="51" customFormat="1" ht="13.5" customHeight="1" x14ac:dyDescent="0.2"/>
    <row r="115" s="51" customFormat="1" ht="13.5" customHeight="1" x14ac:dyDescent="0.2"/>
    <row r="116" s="51" customFormat="1" ht="13.5" customHeight="1" x14ac:dyDescent="0.2"/>
    <row r="117" s="51" customFormat="1" ht="13.5" customHeight="1" x14ac:dyDescent="0.2"/>
    <row r="118" s="51" customFormat="1" ht="13.5" customHeight="1" x14ac:dyDescent="0.2"/>
    <row r="119" s="51" customFormat="1" ht="13.5" customHeight="1" x14ac:dyDescent="0.2"/>
    <row r="120" s="51" customFormat="1" ht="13.5" customHeight="1" x14ac:dyDescent="0.2"/>
    <row r="121" s="51" customFormat="1" ht="13.5" customHeight="1" x14ac:dyDescent="0.2"/>
    <row r="122" s="51" customFormat="1" ht="13.5" customHeight="1" x14ac:dyDescent="0.2"/>
    <row r="123" s="51" customFormat="1" ht="13.5" customHeight="1" x14ac:dyDescent="0.2"/>
    <row r="124" s="51" customFormat="1" ht="13.5" customHeight="1" x14ac:dyDescent="0.2"/>
    <row r="125" s="51" customFormat="1" ht="13.5" customHeight="1" x14ac:dyDescent="0.2"/>
    <row r="126" s="51" customFormat="1" ht="13.5" customHeight="1" x14ac:dyDescent="0.2"/>
    <row r="127" s="51" customFormat="1" ht="13.5" customHeight="1" x14ac:dyDescent="0.2"/>
    <row r="128" s="51" customFormat="1" ht="13.5" customHeight="1" x14ac:dyDescent="0.2"/>
    <row r="129" s="51" customFormat="1" ht="13.5" customHeight="1" x14ac:dyDescent="0.2"/>
    <row r="130" s="51" customFormat="1" ht="13.5" customHeight="1" x14ac:dyDescent="0.2"/>
    <row r="131" s="51" customFormat="1" ht="13.5" customHeight="1" x14ac:dyDescent="0.2"/>
    <row r="132" s="51" customFormat="1" ht="13.5" customHeight="1" x14ac:dyDescent="0.2"/>
    <row r="133" s="51" customFormat="1" ht="13.5" customHeight="1" x14ac:dyDescent="0.2"/>
    <row r="134" s="51" customFormat="1" ht="13.5" customHeight="1" x14ac:dyDescent="0.2"/>
    <row r="135" s="51" customFormat="1" ht="13.5" customHeight="1" x14ac:dyDescent="0.2"/>
    <row r="136" s="51" customFormat="1" ht="13.5" customHeight="1" x14ac:dyDescent="0.2"/>
    <row r="137" s="51" customFormat="1" ht="13.5" customHeight="1" x14ac:dyDescent="0.2"/>
    <row r="138" s="51" customFormat="1" ht="13.5" customHeight="1" x14ac:dyDescent="0.2"/>
    <row r="139" s="51" customFormat="1" ht="13.5" customHeight="1" x14ac:dyDescent="0.2"/>
    <row r="140" s="51" customFormat="1" ht="13.5" customHeight="1" x14ac:dyDescent="0.2"/>
    <row r="141" s="51" customFormat="1" ht="13.5" customHeight="1" x14ac:dyDescent="0.2"/>
    <row r="142" s="51" customFormat="1" ht="13.5" customHeight="1" x14ac:dyDescent="0.2"/>
    <row r="143" s="51" customFormat="1" ht="13.5" customHeight="1" x14ac:dyDescent="0.2"/>
    <row r="144" s="51" customFormat="1" ht="13.5" customHeight="1" x14ac:dyDescent="0.2"/>
    <row r="145" s="51" customFormat="1" ht="13.5" customHeight="1" x14ac:dyDescent="0.2"/>
    <row r="146" s="51" customFormat="1" ht="13.5" customHeight="1" x14ac:dyDescent="0.2"/>
    <row r="147" s="51" customFormat="1" ht="13.5" customHeight="1" x14ac:dyDescent="0.2"/>
    <row r="148" s="51" customFormat="1" ht="13.5" customHeight="1" x14ac:dyDescent="0.2"/>
    <row r="149" s="51" customFormat="1" ht="13.5" customHeight="1" x14ac:dyDescent="0.2"/>
    <row r="150" s="51" customFormat="1" ht="13.5" customHeight="1" x14ac:dyDescent="0.2"/>
    <row r="151" s="51" customFormat="1" ht="13.5" customHeight="1" x14ac:dyDescent="0.2"/>
    <row r="152" s="51" customFormat="1" ht="13.5" customHeight="1" x14ac:dyDescent="0.2"/>
    <row r="153" s="51" customFormat="1" ht="13.5" customHeight="1" x14ac:dyDescent="0.2"/>
    <row r="154" s="51" customFormat="1" ht="13.5" customHeight="1" x14ac:dyDescent="0.2"/>
    <row r="155" s="51" customFormat="1" ht="13.5" customHeight="1" x14ac:dyDescent="0.2"/>
    <row r="156" s="51" customFormat="1" ht="13.5" customHeight="1" x14ac:dyDescent="0.2"/>
    <row r="157" s="51" customFormat="1" ht="13.5" customHeight="1" x14ac:dyDescent="0.2"/>
    <row r="158" s="51" customFormat="1" ht="13.5" customHeight="1" x14ac:dyDescent="0.2"/>
    <row r="159" s="51" customFormat="1" ht="13.5" customHeight="1" x14ac:dyDescent="0.2"/>
    <row r="160" s="51" customFormat="1" ht="13.5" customHeight="1" x14ac:dyDescent="0.2"/>
    <row r="161" s="51" customFormat="1" ht="13.5" customHeight="1" x14ac:dyDescent="0.2"/>
    <row r="162" s="51" customFormat="1" ht="13.5" customHeight="1" x14ac:dyDescent="0.2"/>
    <row r="163" s="51" customFormat="1" ht="13.5" customHeight="1" x14ac:dyDescent="0.2"/>
    <row r="164" s="51" customFormat="1" ht="13.5" customHeight="1" x14ac:dyDescent="0.2"/>
    <row r="165" s="51" customFormat="1" ht="13.5" customHeight="1" x14ac:dyDescent="0.2"/>
    <row r="166" s="51" customFormat="1" ht="13.5" customHeight="1" x14ac:dyDescent="0.2"/>
    <row r="167" s="51" customFormat="1" ht="13.5" customHeight="1" x14ac:dyDescent="0.2"/>
    <row r="168" s="51" customFormat="1" ht="13.5" customHeight="1" x14ac:dyDescent="0.2"/>
    <row r="169" s="51" customFormat="1" ht="13.5" customHeight="1" x14ac:dyDescent="0.2"/>
    <row r="170" s="51" customFormat="1" ht="13.5" customHeight="1" x14ac:dyDescent="0.2"/>
    <row r="171" s="51" customFormat="1" ht="13.5" customHeight="1" x14ac:dyDescent="0.2"/>
    <row r="172" s="51" customFormat="1" ht="13.5" customHeight="1" x14ac:dyDescent="0.2"/>
    <row r="173" s="51" customFormat="1" ht="13.5" customHeight="1" x14ac:dyDescent="0.2"/>
    <row r="174" s="51" customFormat="1" ht="13.5" customHeight="1" x14ac:dyDescent="0.2"/>
    <row r="175" s="51" customFormat="1" ht="13.5" customHeight="1" x14ac:dyDescent="0.2"/>
    <row r="176" s="51" customFormat="1" ht="13.5" customHeight="1" x14ac:dyDescent="0.2"/>
    <row r="177" s="51" customFormat="1" ht="13.5" customHeight="1" x14ac:dyDescent="0.2"/>
    <row r="178" s="51" customFormat="1" ht="13.5" customHeight="1" x14ac:dyDescent="0.2"/>
    <row r="179" s="51" customFormat="1" ht="13.5" customHeight="1" x14ac:dyDescent="0.2"/>
    <row r="180" s="51" customFormat="1" ht="13.5" customHeight="1" x14ac:dyDescent="0.2"/>
    <row r="181" s="51" customFormat="1" ht="13.5" customHeight="1" x14ac:dyDescent="0.2"/>
    <row r="182" s="51" customFormat="1" ht="13.5" customHeight="1" x14ac:dyDescent="0.2"/>
    <row r="183" s="51" customFormat="1" ht="13.5" customHeight="1" x14ac:dyDescent="0.2"/>
    <row r="184" s="51" customFormat="1" ht="13.5" customHeight="1" x14ac:dyDescent="0.2"/>
    <row r="185" s="51" customFormat="1" ht="13.5" customHeight="1" x14ac:dyDescent="0.2"/>
    <row r="186" s="51" customFormat="1" ht="13.5" customHeight="1" x14ac:dyDescent="0.2"/>
    <row r="187" s="51" customFormat="1" ht="13.5" customHeight="1" x14ac:dyDescent="0.2"/>
    <row r="188" s="51" customFormat="1" ht="13.5" customHeight="1" x14ac:dyDescent="0.2"/>
    <row r="189" s="51" customFormat="1" ht="13.5" customHeight="1" x14ac:dyDescent="0.2"/>
    <row r="190" s="51" customFormat="1" ht="13.5" customHeight="1" x14ac:dyDescent="0.2"/>
    <row r="191" s="51" customFormat="1" ht="13.5" customHeight="1" x14ac:dyDescent="0.2"/>
    <row r="192" s="51" customFormat="1" ht="13.5" customHeight="1" x14ac:dyDescent="0.2"/>
    <row r="193" s="51" customFormat="1" ht="13.5" customHeight="1" x14ac:dyDescent="0.2"/>
    <row r="194" s="51" customFormat="1" ht="13.5" customHeight="1" x14ac:dyDescent="0.2"/>
    <row r="195" s="51" customFormat="1" ht="13.5" customHeight="1" x14ac:dyDescent="0.2"/>
    <row r="196" s="51" customFormat="1" ht="13.5" customHeight="1" x14ac:dyDescent="0.2"/>
    <row r="197" s="51" customFormat="1" ht="13.5" customHeight="1" x14ac:dyDescent="0.2"/>
    <row r="198" s="51" customFormat="1" ht="13.5" customHeight="1" x14ac:dyDescent="0.2"/>
    <row r="199" s="51" customFormat="1" ht="13.5" customHeight="1" x14ac:dyDescent="0.2"/>
    <row r="200" s="51" customFormat="1" ht="13.5" customHeight="1" x14ac:dyDescent="0.2"/>
    <row r="201" s="51" customFormat="1" ht="13.5" customHeight="1" x14ac:dyDescent="0.2"/>
    <row r="202" s="51" customFormat="1" ht="13.5" customHeight="1" x14ac:dyDescent="0.2"/>
    <row r="203" s="51" customFormat="1" ht="13.5" customHeight="1" x14ac:dyDescent="0.2"/>
    <row r="204" s="51" customFormat="1" ht="13.5" customHeight="1" x14ac:dyDescent="0.2"/>
    <row r="205" s="51" customFormat="1" ht="13.5" customHeight="1" x14ac:dyDescent="0.2"/>
    <row r="206" s="51" customFormat="1" ht="13.5" customHeight="1" x14ac:dyDescent="0.2"/>
    <row r="207" s="51" customFormat="1" ht="13.5" customHeight="1" x14ac:dyDescent="0.2"/>
    <row r="208" s="51" customFormat="1" ht="13.5" customHeight="1" x14ac:dyDescent="0.2"/>
    <row r="209" s="51" customFormat="1" ht="13.5" customHeight="1" x14ac:dyDescent="0.2"/>
    <row r="210" s="51" customFormat="1" ht="13.5" customHeight="1" x14ac:dyDescent="0.2"/>
    <row r="211" s="51" customFormat="1" ht="13.5" customHeight="1" x14ac:dyDescent="0.2"/>
    <row r="212" s="51" customFormat="1" ht="13.5" customHeight="1" x14ac:dyDescent="0.2"/>
    <row r="213" s="51" customFormat="1" ht="13.5" customHeight="1" x14ac:dyDescent="0.2"/>
    <row r="214" s="51" customFormat="1" ht="13.5" customHeight="1" x14ac:dyDescent="0.2"/>
    <row r="215" s="51" customFormat="1" ht="13.5" customHeight="1" x14ac:dyDescent="0.2"/>
    <row r="216" s="51" customFormat="1" ht="13.5" customHeight="1" x14ac:dyDescent="0.2"/>
    <row r="217" s="51" customFormat="1" ht="13.5" customHeight="1" x14ac:dyDescent="0.2"/>
    <row r="218" s="51" customFormat="1" ht="13.5" customHeight="1" x14ac:dyDescent="0.2"/>
    <row r="219" s="51" customFormat="1" ht="13.5" customHeight="1" x14ac:dyDescent="0.2"/>
    <row r="220" s="51" customFormat="1" ht="13.5" customHeight="1" x14ac:dyDescent="0.2"/>
    <row r="221" s="51" customFormat="1" ht="13.5" customHeight="1" x14ac:dyDescent="0.2"/>
    <row r="222" s="51" customFormat="1" ht="13.5" customHeight="1" x14ac:dyDescent="0.2"/>
    <row r="223" s="51" customFormat="1" ht="13.5" customHeight="1" x14ac:dyDescent="0.2"/>
    <row r="224" s="51" customFormat="1" ht="13.5" customHeight="1" x14ac:dyDescent="0.2"/>
    <row r="225" s="51" customFormat="1" ht="13.5" customHeight="1" x14ac:dyDescent="0.2"/>
    <row r="226" s="51" customFormat="1" ht="13.5" customHeight="1" x14ac:dyDescent="0.2"/>
    <row r="227" s="51" customFormat="1" ht="13.5" customHeight="1" x14ac:dyDescent="0.2"/>
    <row r="228" s="51" customFormat="1" ht="13.5" customHeight="1" x14ac:dyDescent="0.2"/>
    <row r="229" s="51" customFormat="1" ht="13.5" customHeight="1" x14ac:dyDescent="0.2"/>
    <row r="230" s="51" customFormat="1" ht="13.5" customHeight="1" x14ac:dyDescent="0.2"/>
    <row r="231" s="51" customFormat="1" ht="13.5" customHeight="1" x14ac:dyDescent="0.2"/>
    <row r="232" s="51" customFormat="1" ht="13.5" customHeight="1" x14ac:dyDescent="0.2"/>
    <row r="233" s="51" customFormat="1" ht="13.5" customHeight="1" x14ac:dyDescent="0.2"/>
    <row r="234" s="51" customFormat="1" ht="13.5" customHeight="1" x14ac:dyDescent="0.2"/>
    <row r="235" s="51" customFormat="1" ht="13.5" customHeight="1" x14ac:dyDescent="0.2"/>
    <row r="236" s="51" customFormat="1" ht="13.5" customHeight="1" x14ac:dyDescent="0.2"/>
    <row r="237" s="51" customFormat="1" ht="13.5" customHeight="1" x14ac:dyDescent="0.2"/>
    <row r="238" s="51" customFormat="1" ht="13.5" customHeight="1" x14ac:dyDescent="0.2"/>
    <row r="239" s="51" customFormat="1" ht="13.5" customHeight="1" x14ac:dyDescent="0.2"/>
    <row r="240" s="51" customFormat="1" ht="13.5" customHeight="1" x14ac:dyDescent="0.2"/>
    <row r="241" s="51" customFormat="1" ht="13.5" customHeight="1" x14ac:dyDescent="0.2"/>
    <row r="242" s="51" customFormat="1" ht="13.5" customHeight="1" x14ac:dyDescent="0.2"/>
    <row r="243" s="51" customFormat="1" ht="13.5" customHeight="1" x14ac:dyDescent="0.2"/>
    <row r="244" s="51" customFormat="1" ht="13.5" customHeight="1" x14ac:dyDescent="0.2"/>
    <row r="245" s="51" customFormat="1" ht="13.5" customHeight="1" x14ac:dyDescent="0.2"/>
    <row r="246" s="51" customFormat="1" ht="13.5" customHeight="1" x14ac:dyDescent="0.2"/>
    <row r="247" s="51" customFormat="1" ht="13.5" customHeight="1" x14ac:dyDescent="0.2"/>
    <row r="248" s="51" customFormat="1" ht="13.5" customHeight="1" x14ac:dyDescent="0.2"/>
    <row r="249" s="51" customFormat="1" ht="13.5" customHeight="1" x14ac:dyDescent="0.2"/>
    <row r="250" s="51" customFormat="1" ht="13.5" customHeight="1" x14ac:dyDescent="0.2"/>
    <row r="251" s="51" customFormat="1" ht="13.5" customHeight="1" x14ac:dyDescent="0.2"/>
    <row r="252" s="51" customFormat="1" ht="13.5" customHeight="1" x14ac:dyDescent="0.2"/>
    <row r="253" s="51" customFormat="1" ht="13.5" customHeight="1" x14ac:dyDescent="0.2"/>
    <row r="254" s="51" customFormat="1" ht="13.5" customHeight="1" x14ac:dyDescent="0.2"/>
    <row r="255" s="51" customFormat="1" ht="13.5" customHeight="1" x14ac:dyDescent="0.2"/>
    <row r="256" s="51" customFormat="1" ht="13.5" customHeight="1" x14ac:dyDescent="0.2"/>
    <row r="257" s="51" customFormat="1" ht="13.5" customHeight="1" x14ac:dyDescent="0.2"/>
    <row r="258" s="51" customFormat="1" ht="13.5" customHeight="1" x14ac:dyDescent="0.2"/>
    <row r="259" s="51" customFormat="1" ht="13.5" customHeight="1" x14ac:dyDescent="0.2"/>
    <row r="260" s="51" customFormat="1" ht="13.5" customHeight="1" x14ac:dyDescent="0.2"/>
    <row r="261" s="51" customFormat="1" ht="13.5" customHeight="1" x14ac:dyDescent="0.2"/>
    <row r="262" s="51" customFormat="1" ht="13.5" customHeight="1" x14ac:dyDescent="0.2"/>
    <row r="263" s="51" customFormat="1" ht="13.5" customHeight="1" x14ac:dyDescent="0.2"/>
    <row r="264" s="51" customFormat="1" ht="13.5" customHeight="1" x14ac:dyDescent="0.2"/>
    <row r="265" s="51" customFormat="1" ht="13.5" customHeight="1" x14ac:dyDescent="0.2"/>
    <row r="266" s="51" customFormat="1" ht="13.5" customHeight="1" x14ac:dyDescent="0.2"/>
    <row r="267" s="51" customFormat="1" ht="13.5" customHeight="1" x14ac:dyDescent="0.2"/>
    <row r="268" s="51" customFormat="1" ht="13.5" customHeight="1" x14ac:dyDescent="0.2"/>
    <row r="269" s="51" customFormat="1" ht="13.5" customHeight="1" x14ac:dyDescent="0.2"/>
    <row r="270" s="51" customFormat="1" ht="13.5" customHeight="1" x14ac:dyDescent="0.2"/>
    <row r="271" s="51" customFormat="1" ht="13.5" customHeight="1" x14ac:dyDescent="0.2"/>
    <row r="272" s="51" customFormat="1" ht="13.5" customHeight="1" x14ac:dyDescent="0.2"/>
    <row r="273" s="51" customFormat="1" ht="13.5" customHeight="1" x14ac:dyDescent="0.2"/>
    <row r="274" s="51" customFormat="1" ht="13.5" customHeight="1" x14ac:dyDescent="0.2"/>
    <row r="275" s="51" customFormat="1" ht="13.5" customHeight="1" x14ac:dyDescent="0.2"/>
    <row r="276" s="51" customFormat="1" ht="13.5" customHeight="1" x14ac:dyDescent="0.2"/>
    <row r="277" s="51" customFormat="1" ht="13.5" customHeight="1" x14ac:dyDescent="0.2"/>
    <row r="278" s="51" customFormat="1" ht="13.5" customHeight="1" x14ac:dyDescent="0.2"/>
    <row r="279" s="51" customFormat="1" ht="13.5" customHeight="1" x14ac:dyDescent="0.2"/>
    <row r="280" s="51" customFormat="1" ht="13.5" customHeight="1" x14ac:dyDescent="0.2"/>
    <row r="281" s="51" customFormat="1" ht="13.5" customHeight="1" x14ac:dyDescent="0.2"/>
    <row r="282" s="51" customFormat="1" ht="13.5" customHeight="1" x14ac:dyDescent="0.2"/>
    <row r="283" s="51" customFormat="1" ht="13.5" customHeight="1" x14ac:dyDescent="0.2"/>
    <row r="284" s="51" customFormat="1" ht="13.5" customHeight="1" x14ac:dyDescent="0.2"/>
    <row r="285" s="51" customFormat="1" ht="13.5" customHeight="1" x14ac:dyDescent="0.2"/>
    <row r="286" s="51" customFormat="1" ht="13.5" customHeight="1" x14ac:dyDescent="0.2"/>
    <row r="287" s="51" customFormat="1" ht="13.5" customHeight="1" x14ac:dyDescent="0.2"/>
    <row r="288" s="51" customFormat="1" ht="13.5" customHeight="1" x14ac:dyDescent="0.2"/>
    <row r="289" s="51" customFormat="1" ht="13.5" customHeight="1" x14ac:dyDescent="0.2"/>
    <row r="290" s="51" customFormat="1" ht="13.5" customHeight="1" x14ac:dyDescent="0.2"/>
    <row r="291" s="51" customFormat="1" ht="13.5" customHeight="1" x14ac:dyDescent="0.2"/>
    <row r="292" s="51" customFormat="1" ht="13.5" customHeight="1" x14ac:dyDescent="0.2"/>
    <row r="293" s="51" customFormat="1" ht="13.5" customHeight="1" x14ac:dyDescent="0.2"/>
    <row r="294" s="51" customFormat="1" ht="13.5" customHeight="1" x14ac:dyDescent="0.2"/>
    <row r="295" s="51" customFormat="1" ht="13.5" customHeight="1" x14ac:dyDescent="0.2"/>
    <row r="296" s="51" customFormat="1" ht="13.5" customHeight="1" x14ac:dyDescent="0.2"/>
    <row r="297" s="51" customFormat="1" ht="13.5" customHeight="1" x14ac:dyDescent="0.2"/>
    <row r="298" s="51" customFormat="1" ht="13.5" customHeight="1" x14ac:dyDescent="0.2"/>
    <row r="299" s="51" customFormat="1" ht="13.5" customHeight="1" x14ac:dyDescent="0.2"/>
    <row r="300" s="51" customFormat="1" ht="13.5" customHeight="1" x14ac:dyDescent="0.2"/>
    <row r="301" s="51" customFormat="1" ht="13.5" customHeight="1" x14ac:dyDescent="0.2"/>
    <row r="302" s="51" customFormat="1" ht="13.5" customHeight="1" x14ac:dyDescent="0.2"/>
    <row r="303" s="51" customFormat="1" ht="13.5" customHeight="1" x14ac:dyDescent="0.2"/>
    <row r="304" s="51" customFormat="1" ht="13.5" customHeight="1" x14ac:dyDescent="0.2"/>
    <row r="305" s="51" customFormat="1" ht="13.5" customHeight="1" x14ac:dyDescent="0.2"/>
    <row r="306" s="51" customFormat="1" ht="13.5" customHeight="1" x14ac:dyDescent="0.2"/>
    <row r="307" s="51" customFormat="1" ht="13.5" customHeight="1" x14ac:dyDescent="0.2"/>
    <row r="308" s="51" customFormat="1" ht="13.5" customHeight="1" x14ac:dyDescent="0.2"/>
    <row r="309" s="51" customFormat="1" ht="13.5" customHeight="1" x14ac:dyDescent="0.2"/>
    <row r="310" s="51" customFormat="1" ht="13.5" customHeight="1" x14ac:dyDescent="0.2"/>
    <row r="311" s="51" customFormat="1" ht="13.5" customHeight="1" x14ac:dyDescent="0.2"/>
    <row r="312" s="51" customFormat="1" ht="13.5" customHeight="1" x14ac:dyDescent="0.2"/>
    <row r="313" s="51" customFormat="1" ht="13.5" customHeight="1" x14ac:dyDescent="0.2"/>
    <row r="314" s="51" customFormat="1" ht="13.5" customHeight="1" x14ac:dyDescent="0.2"/>
    <row r="315" s="51" customFormat="1" ht="13.5" customHeight="1" x14ac:dyDescent="0.2"/>
    <row r="316" s="51" customFormat="1" ht="13.5" customHeight="1" x14ac:dyDescent="0.2"/>
    <row r="317" s="51" customFormat="1" ht="13.5" customHeight="1" x14ac:dyDescent="0.2"/>
    <row r="318" s="51" customFormat="1" ht="13.5" customHeight="1" x14ac:dyDescent="0.2"/>
    <row r="319" s="51" customFormat="1" ht="13.5" customHeight="1" x14ac:dyDescent="0.2"/>
    <row r="320" s="51" customFormat="1" ht="13.5" customHeight="1" x14ac:dyDescent="0.2"/>
    <row r="321" s="51" customFormat="1" ht="13.5" customHeight="1" x14ac:dyDescent="0.2"/>
    <row r="322" s="51" customFormat="1" ht="13.5" customHeight="1" x14ac:dyDescent="0.2"/>
    <row r="323" s="51" customFormat="1" ht="13.5" customHeight="1" x14ac:dyDescent="0.2"/>
    <row r="324" s="51" customFormat="1" ht="13.5" customHeight="1" x14ac:dyDescent="0.2"/>
    <row r="325" s="51" customFormat="1" ht="13.5" customHeight="1" x14ac:dyDescent="0.2"/>
    <row r="326" s="51" customFormat="1" ht="13.5" customHeight="1" x14ac:dyDescent="0.2"/>
    <row r="327" s="51" customFormat="1" ht="13.5" customHeight="1" x14ac:dyDescent="0.2"/>
    <row r="328" s="51" customFormat="1" ht="13.5" customHeight="1" x14ac:dyDescent="0.2"/>
    <row r="329" s="51" customFormat="1" ht="13.5" customHeight="1" x14ac:dyDescent="0.2"/>
    <row r="330" s="51" customFormat="1" ht="13.5" customHeight="1" x14ac:dyDescent="0.2"/>
    <row r="331" s="51" customFormat="1" ht="13.5" customHeight="1" x14ac:dyDescent="0.2"/>
    <row r="332" s="51" customFormat="1" ht="13.5" customHeight="1" x14ac:dyDescent="0.2"/>
    <row r="333" s="51" customFormat="1" ht="13.5" customHeight="1" x14ac:dyDescent="0.2"/>
    <row r="334" s="51" customFormat="1" ht="13.5" customHeight="1" x14ac:dyDescent="0.2"/>
    <row r="335" s="51" customFormat="1" ht="13.5" customHeight="1" x14ac:dyDescent="0.2"/>
    <row r="336" s="51" customFormat="1" ht="13.5" customHeight="1" x14ac:dyDescent="0.2"/>
    <row r="337" s="51" customFormat="1" ht="13.5" customHeight="1" x14ac:dyDescent="0.2"/>
    <row r="338" s="51" customFormat="1" ht="13.5" customHeight="1" x14ac:dyDescent="0.2"/>
    <row r="339" s="51" customFormat="1" ht="13.5" customHeight="1" x14ac:dyDescent="0.2"/>
    <row r="340" s="51" customFormat="1" ht="13.5" customHeight="1" x14ac:dyDescent="0.2"/>
    <row r="341" s="51" customFormat="1" ht="13.5" customHeight="1" x14ac:dyDescent="0.2"/>
    <row r="342" s="51" customFormat="1" ht="13.5" customHeight="1" x14ac:dyDescent="0.2"/>
    <row r="343" s="51" customFormat="1" ht="13.5" customHeight="1" x14ac:dyDescent="0.2"/>
    <row r="344" s="51" customFormat="1" ht="13.5" customHeight="1" x14ac:dyDescent="0.2"/>
    <row r="345" s="51" customFormat="1" ht="13.5" customHeight="1" x14ac:dyDescent="0.2"/>
    <row r="346" s="51" customFormat="1" ht="13.5" customHeight="1" x14ac:dyDescent="0.2"/>
    <row r="347" s="51" customFormat="1" ht="13.5" customHeight="1" x14ac:dyDescent="0.2"/>
    <row r="348" s="51" customFormat="1" ht="13.5" customHeight="1" x14ac:dyDescent="0.2"/>
    <row r="349" s="51" customFormat="1" ht="13.5" customHeight="1" x14ac:dyDescent="0.2"/>
    <row r="350" s="51" customFormat="1" ht="13.5" customHeight="1" x14ac:dyDescent="0.2"/>
    <row r="351" s="51" customFormat="1" ht="13.5" customHeight="1" x14ac:dyDescent="0.2"/>
    <row r="352" s="51" customFormat="1" ht="13.5" customHeight="1" x14ac:dyDescent="0.2"/>
    <row r="353" s="51" customFormat="1" ht="13.5" customHeight="1" x14ac:dyDescent="0.2"/>
    <row r="354" s="51" customFormat="1" ht="13.5" customHeight="1" x14ac:dyDescent="0.2"/>
    <row r="355" s="51" customFormat="1" ht="13.5" customHeight="1" x14ac:dyDescent="0.2"/>
    <row r="356" s="51" customFormat="1" ht="13.5" customHeight="1" x14ac:dyDescent="0.2"/>
    <row r="357" s="51" customFormat="1" ht="13.5" customHeight="1" x14ac:dyDescent="0.2"/>
    <row r="358" s="51" customFormat="1" ht="13.5" customHeight="1" x14ac:dyDescent="0.2"/>
    <row r="359" s="51" customFormat="1" ht="13.5" customHeight="1" x14ac:dyDescent="0.2"/>
    <row r="360" s="51" customFormat="1" ht="13.5" customHeight="1" x14ac:dyDescent="0.2"/>
    <row r="361" s="51" customFormat="1" ht="13.5" customHeight="1" x14ac:dyDescent="0.2"/>
    <row r="362" s="51" customFormat="1" ht="13.5" customHeight="1" x14ac:dyDescent="0.2"/>
    <row r="363" s="51" customFormat="1" ht="13.5" customHeight="1" x14ac:dyDescent="0.2"/>
    <row r="364" s="51" customFormat="1" ht="13.5" customHeight="1" x14ac:dyDescent="0.2"/>
    <row r="365" s="51" customFormat="1" ht="13.5" customHeight="1" x14ac:dyDescent="0.2"/>
    <row r="366" s="51" customFormat="1" ht="13.5" customHeight="1" x14ac:dyDescent="0.2"/>
    <row r="367" s="51" customFormat="1" ht="13.5" customHeight="1" x14ac:dyDescent="0.2"/>
    <row r="368" s="51" customFormat="1" ht="13.5" customHeight="1" x14ac:dyDescent="0.2"/>
    <row r="369" s="51" customFormat="1" ht="13.5" customHeight="1" x14ac:dyDescent="0.2"/>
    <row r="370" s="51" customFormat="1" ht="13.5" customHeight="1" x14ac:dyDescent="0.2"/>
    <row r="371" s="51" customFormat="1" ht="13.5" customHeight="1" x14ac:dyDescent="0.2"/>
    <row r="372" s="51" customFormat="1" ht="13.5" customHeight="1" x14ac:dyDescent="0.2"/>
    <row r="373" s="51" customFormat="1" ht="13.5" customHeight="1" x14ac:dyDescent="0.2"/>
    <row r="374" s="51" customFormat="1" ht="13.5" customHeight="1" x14ac:dyDescent="0.2"/>
    <row r="375" s="51" customFormat="1" ht="13.5" customHeight="1" x14ac:dyDescent="0.2"/>
    <row r="376" s="51" customFormat="1" ht="13.5" customHeight="1" x14ac:dyDescent="0.2"/>
    <row r="377" s="51" customFormat="1" ht="13.5" customHeight="1" x14ac:dyDescent="0.2"/>
    <row r="378" s="51" customFormat="1" ht="13.5" customHeight="1" x14ac:dyDescent="0.2"/>
    <row r="379" s="51" customFormat="1" ht="13.5" customHeight="1" x14ac:dyDescent="0.2"/>
    <row r="380" s="51" customFormat="1" ht="13.5" customHeight="1" x14ac:dyDescent="0.2"/>
    <row r="381" s="51" customFormat="1" ht="13.5" customHeight="1" x14ac:dyDescent="0.2"/>
    <row r="382" s="51" customFormat="1" ht="13.5" customHeight="1" x14ac:dyDescent="0.2"/>
    <row r="383" s="51" customFormat="1" ht="13.5" customHeight="1" x14ac:dyDescent="0.2"/>
    <row r="384" s="51" customFormat="1" ht="13.5" customHeight="1" x14ac:dyDescent="0.2"/>
    <row r="385" s="51" customFormat="1" ht="13.5" customHeight="1" x14ac:dyDescent="0.2"/>
    <row r="386" s="51" customFormat="1" ht="13.5" customHeight="1" x14ac:dyDescent="0.2"/>
    <row r="387" s="51" customFormat="1" ht="13.5" customHeight="1" x14ac:dyDescent="0.2"/>
    <row r="388" s="51" customFormat="1" ht="13.5" customHeight="1" x14ac:dyDescent="0.2"/>
    <row r="389" s="51" customFormat="1" ht="13.5" customHeight="1" x14ac:dyDescent="0.2"/>
    <row r="390" s="51" customFormat="1" ht="13.5" customHeight="1" x14ac:dyDescent="0.2"/>
    <row r="391" s="51" customFormat="1" ht="13.5" customHeight="1" x14ac:dyDescent="0.2"/>
    <row r="392" s="51" customFormat="1" ht="13.5" customHeight="1" x14ac:dyDescent="0.2"/>
    <row r="393" s="51" customFormat="1" ht="13.5" customHeight="1" x14ac:dyDescent="0.2"/>
    <row r="394" s="51" customFormat="1" ht="13.5" customHeight="1" x14ac:dyDescent="0.2"/>
    <row r="395" s="51" customFormat="1" ht="13.5" customHeight="1" x14ac:dyDescent="0.2"/>
    <row r="396" s="51" customFormat="1" ht="13.5" customHeight="1" x14ac:dyDescent="0.2"/>
    <row r="397" s="51" customFormat="1" ht="13.5" customHeight="1" x14ac:dyDescent="0.2"/>
    <row r="398" s="51" customFormat="1" ht="13.5" customHeight="1" x14ac:dyDescent="0.2"/>
    <row r="399" s="51" customFormat="1" ht="13.5" customHeight="1" x14ac:dyDescent="0.2"/>
    <row r="400" s="51" customFormat="1" ht="13.5" customHeight="1" x14ac:dyDescent="0.2"/>
    <row r="401" s="51" customFormat="1" ht="13.5" customHeight="1" x14ac:dyDescent="0.2"/>
    <row r="402" s="51" customFormat="1" ht="13.5" customHeight="1" x14ac:dyDescent="0.2"/>
    <row r="403" s="51" customFormat="1" ht="13.5" customHeight="1" x14ac:dyDescent="0.2"/>
    <row r="404" s="51" customFormat="1" ht="13.5" customHeight="1" x14ac:dyDescent="0.2"/>
    <row r="405" s="51" customFormat="1" ht="13.5" customHeight="1" x14ac:dyDescent="0.2"/>
    <row r="406" s="51" customFormat="1" ht="13.5" customHeight="1" x14ac:dyDescent="0.2"/>
    <row r="407" s="51" customFormat="1" ht="13.5" customHeight="1" x14ac:dyDescent="0.2"/>
    <row r="408" s="51" customFormat="1" ht="13.5" customHeight="1" x14ac:dyDescent="0.2"/>
    <row r="409" s="51" customFormat="1" ht="13.5" customHeight="1" x14ac:dyDescent="0.2"/>
    <row r="410" s="51" customFormat="1" ht="13.5" customHeight="1" x14ac:dyDescent="0.2"/>
    <row r="411" s="51" customFormat="1" ht="13.5" customHeight="1" x14ac:dyDescent="0.2"/>
    <row r="412" s="51" customFormat="1" ht="13.5" customHeight="1" x14ac:dyDescent="0.2"/>
    <row r="413" s="51" customFormat="1" ht="13.5" customHeight="1" x14ac:dyDescent="0.2"/>
    <row r="414" s="51" customFormat="1" ht="13.5" customHeight="1" x14ac:dyDescent="0.2"/>
    <row r="415" s="51" customFormat="1" ht="13.5" customHeight="1" x14ac:dyDescent="0.2"/>
    <row r="416" s="51" customFormat="1" ht="13.5" customHeight="1" x14ac:dyDescent="0.2"/>
    <row r="417" s="51" customFormat="1" ht="13.5" customHeight="1" x14ac:dyDescent="0.2"/>
    <row r="418" s="51" customFormat="1" ht="13.5" customHeight="1" x14ac:dyDescent="0.2"/>
    <row r="419" s="51" customFormat="1" ht="13.5" customHeight="1" x14ac:dyDescent="0.2"/>
    <row r="420" s="51" customFormat="1" ht="13.5" customHeight="1" x14ac:dyDescent="0.2"/>
    <row r="421" s="51" customFormat="1" ht="13.5" customHeight="1" x14ac:dyDescent="0.2"/>
    <row r="422" s="51" customFormat="1" ht="13.5" customHeight="1" x14ac:dyDescent="0.2"/>
    <row r="423" s="51" customFormat="1" ht="13.5" customHeight="1" x14ac:dyDescent="0.2"/>
    <row r="424" s="51" customFormat="1" ht="13.5" customHeight="1" x14ac:dyDescent="0.2"/>
    <row r="425" s="51" customFormat="1" ht="13.5" customHeight="1" x14ac:dyDescent="0.2"/>
    <row r="426" s="51" customFormat="1" ht="13.5" customHeight="1" x14ac:dyDescent="0.2"/>
    <row r="427" s="51" customFormat="1" ht="13.5" customHeight="1" x14ac:dyDescent="0.2"/>
    <row r="428" s="51" customFormat="1" ht="13.5" customHeight="1" x14ac:dyDescent="0.2"/>
    <row r="429" s="51" customFormat="1" ht="13.5" customHeight="1" x14ac:dyDescent="0.2"/>
    <row r="430" s="51" customFormat="1" ht="13.5" customHeight="1" x14ac:dyDescent="0.2"/>
    <row r="431" s="51" customFormat="1" ht="13.5" customHeight="1" x14ac:dyDescent="0.2"/>
    <row r="432" s="51" customFormat="1" ht="13.5" customHeight="1" x14ac:dyDescent="0.2"/>
    <row r="433" s="51" customFormat="1" ht="13.5" customHeight="1" x14ac:dyDescent="0.2"/>
    <row r="434" s="51" customFormat="1" ht="13.5" customHeight="1" x14ac:dyDescent="0.2"/>
    <row r="435" s="51" customFormat="1" ht="13.5" customHeight="1" x14ac:dyDescent="0.2"/>
    <row r="436" s="51" customFormat="1" ht="13.5" customHeight="1" x14ac:dyDescent="0.2"/>
    <row r="437" s="51" customFormat="1" ht="13.5" customHeight="1" x14ac:dyDescent="0.2"/>
    <row r="438" s="51" customFormat="1" ht="13.5" customHeight="1" x14ac:dyDescent="0.2"/>
    <row r="439" s="51" customFormat="1" ht="13.5" customHeight="1" x14ac:dyDescent="0.2"/>
    <row r="440" s="51" customFormat="1" ht="13.5" customHeight="1" x14ac:dyDescent="0.2"/>
    <row r="441" s="51" customFormat="1" ht="13.5" customHeight="1" x14ac:dyDescent="0.2"/>
    <row r="442" s="51" customFormat="1" ht="13.5" customHeight="1" x14ac:dyDescent="0.2"/>
    <row r="443" s="51" customFormat="1" ht="13.5" customHeight="1" x14ac:dyDescent="0.2"/>
    <row r="444" s="51" customFormat="1" ht="13.5" customHeight="1" x14ac:dyDescent="0.2"/>
    <row r="445" s="51" customFormat="1" ht="13.5" customHeight="1" x14ac:dyDescent="0.2"/>
    <row r="446" s="51" customFormat="1" ht="13.5" customHeight="1" x14ac:dyDescent="0.2"/>
    <row r="447" s="51" customFormat="1" ht="13.5" customHeight="1" x14ac:dyDescent="0.2"/>
    <row r="448" s="51" customFormat="1" ht="13.5" customHeight="1" x14ac:dyDescent="0.2"/>
    <row r="449" s="51" customFormat="1" ht="13.5" customHeight="1" x14ac:dyDescent="0.2"/>
    <row r="450" s="51" customFormat="1" ht="13.5" customHeight="1" x14ac:dyDescent="0.2"/>
    <row r="451" s="51" customFormat="1" ht="13.5" customHeight="1" x14ac:dyDescent="0.2"/>
    <row r="452" s="51" customFormat="1" ht="13.5" customHeight="1" x14ac:dyDescent="0.2"/>
    <row r="453" s="51" customFormat="1" ht="13.5" customHeight="1" x14ac:dyDescent="0.2"/>
    <row r="454" s="51" customFormat="1" ht="13.5" customHeight="1" x14ac:dyDescent="0.2"/>
    <row r="455" s="51" customFormat="1" ht="13.5" customHeight="1" x14ac:dyDescent="0.2"/>
    <row r="456" s="51" customFormat="1" ht="13.5" customHeight="1" x14ac:dyDescent="0.2"/>
    <row r="457" s="51" customFormat="1" ht="13.5" customHeight="1" x14ac:dyDescent="0.2"/>
    <row r="458" s="51" customFormat="1" ht="13.5" customHeight="1" x14ac:dyDescent="0.2"/>
    <row r="459" s="51" customFormat="1" ht="13.5" customHeight="1" x14ac:dyDescent="0.2"/>
    <row r="460" s="51" customFormat="1" ht="13.5" customHeight="1" x14ac:dyDescent="0.2"/>
    <row r="461" s="51" customFormat="1" ht="13.5" customHeight="1" x14ac:dyDescent="0.2"/>
    <row r="462" s="51" customFormat="1" ht="13.5" customHeight="1" x14ac:dyDescent="0.2"/>
    <row r="463" s="51" customFormat="1" ht="13.5" customHeight="1" x14ac:dyDescent="0.2"/>
    <row r="464" s="51" customFormat="1" ht="13.5" customHeight="1" x14ac:dyDescent="0.2"/>
    <row r="465" s="51" customFormat="1" ht="13.5" customHeight="1" x14ac:dyDescent="0.2"/>
    <row r="466" s="51" customFormat="1" ht="13.5" customHeight="1" x14ac:dyDescent="0.2"/>
    <row r="467" s="51" customFormat="1" ht="13.5" customHeight="1" x14ac:dyDescent="0.2"/>
    <row r="468" s="51" customFormat="1" ht="13.5" customHeight="1" x14ac:dyDescent="0.2"/>
    <row r="469" s="51" customFormat="1" ht="13.5" customHeight="1" x14ac:dyDescent="0.2"/>
    <row r="470" s="51" customFormat="1" ht="13.5" customHeight="1" x14ac:dyDescent="0.2"/>
    <row r="471" s="51" customFormat="1" ht="13.5" customHeight="1" x14ac:dyDescent="0.2"/>
    <row r="472" s="51" customFormat="1" ht="13.5" customHeight="1" x14ac:dyDescent="0.2"/>
    <row r="473" s="51" customFormat="1" ht="13.5" customHeight="1" x14ac:dyDescent="0.2"/>
    <row r="474" s="51" customFormat="1" ht="13.5" customHeight="1" x14ac:dyDescent="0.2"/>
    <row r="475" s="51" customFormat="1" ht="13.5" customHeight="1" x14ac:dyDescent="0.2"/>
    <row r="476" s="51" customFormat="1" ht="13.5" customHeight="1" x14ac:dyDescent="0.2"/>
    <row r="477" s="51" customFormat="1" ht="13.5" customHeight="1" x14ac:dyDescent="0.2"/>
    <row r="478" s="51" customFormat="1" ht="13.5" customHeight="1" x14ac:dyDescent="0.2"/>
    <row r="479" s="51" customFormat="1" ht="13.5" customHeight="1" x14ac:dyDescent="0.2"/>
    <row r="480" s="51" customFormat="1" ht="13.5" customHeight="1" x14ac:dyDescent="0.2"/>
    <row r="481" s="51" customFormat="1" ht="13.5" customHeight="1" x14ac:dyDescent="0.2"/>
    <row r="482" s="51" customFormat="1" ht="13.5" customHeight="1" x14ac:dyDescent="0.2"/>
    <row r="483" s="51" customFormat="1" ht="13.5" customHeight="1" x14ac:dyDescent="0.2"/>
    <row r="484" s="51" customFormat="1" ht="13.5" customHeight="1" x14ac:dyDescent="0.2"/>
    <row r="485" s="51" customFormat="1" ht="13.5" customHeight="1" x14ac:dyDescent="0.2"/>
    <row r="486" s="51" customFormat="1" ht="13.5" customHeight="1" x14ac:dyDescent="0.2"/>
    <row r="487" s="51" customFormat="1" ht="13.5" customHeight="1" x14ac:dyDescent="0.2"/>
    <row r="488" s="51" customFormat="1" ht="13.5" customHeight="1" x14ac:dyDescent="0.2"/>
    <row r="489" s="51" customFormat="1" ht="13.5" customHeight="1" x14ac:dyDescent="0.2"/>
    <row r="490" s="51" customFormat="1" ht="13.5" customHeight="1" x14ac:dyDescent="0.2"/>
    <row r="491" s="51" customFormat="1" ht="13.5" customHeight="1" x14ac:dyDescent="0.2"/>
    <row r="492" s="51" customFormat="1" ht="13.5" customHeight="1" x14ac:dyDescent="0.2"/>
    <row r="493" s="51" customFormat="1" ht="13.5" customHeight="1" x14ac:dyDescent="0.2"/>
    <row r="494" s="51" customFormat="1" ht="13.5" customHeight="1" x14ac:dyDescent="0.2"/>
    <row r="495" s="51" customFormat="1" ht="13.5" customHeight="1" x14ac:dyDescent="0.2"/>
    <row r="496" s="51" customFormat="1" ht="13.5" customHeight="1" x14ac:dyDescent="0.2"/>
    <row r="497" s="51" customFormat="1" ht="13.5" customHeight="1" x14ac:dyDescent="0.2"/>
    <row r="498" s="51" customFormat="1" ht="13.5" customHeight="1" x14ac:dyDescent="0.2"/>
    <row r="499" s="51" customFormat="1" ht="13.5" customHeight="1" x14ac:dyDescent="0.2"/>
    <row r="500" s="51" customFormat="1" ht="13.5" customHeight="1" x14ac:dyDescent="0.2"/>
    <row r="501" s="51" customFormat="1" ht="13.5" customHeight="1" x14ac:dyDescent="0.2"/>
    <row r="502" s="51" customFormat="1" ht="13.5" customHeight="1" x14ac:dyDescent="0.2"/>
    <row r="503" s="51" customFormat="1" ht="13.5" customHeight="1" x14ac:dyDescent="0.2"/>
    <row r="504" s="51" customFormat="1" ht="13.5" customHeight="1" x14ac:dyDescent="0.2"/>
    <row r="505" s="51" customFormat="1" ht="13.5" customHeight="1" x14ac:dyDescent="0.2"/>
    <row r="506" s="51" customFormat="1" ht="13.5" customHeight="1" x14ac:dyDescent="0.2"/>
    <row r="507" s="51" customFormat="1" ht="13.5" customHeight="1" x14ac:dyDescent="0.2"/>
    <row r="508" s="51" customFormat="1" ht="13.5" customHeight="1" x14ac:dyDescent="0.2"/>
    <row r="509" s="51" customFormat="1" ht="13.5" customHeight="1" x14ac:dyDescent="0.2"/>
    <row r="510" s="51" customFormat="1" ht="13.5" customHeight="1" x14ac:dyDescent="0.2"/>
    <row r="511" s="51" customFormat="1" ht="13.5" customHeight="1" x14ac:dyDescent="0.2"/>
    <row r="512" s="51" customFormat="1" ht="13.5" customHeight="1" x14ac:dyDescent="0.2"/>
    <row r="513" s="51" customFormat="1" ht="13.5" customHeight="1" x14ac:dyDescent="0.2"/>
    <row r="514" s="51" customFormat="1" ht="13.5" customHeight="1" x14ac:dyDescent="0.2"/>
    <row r="515" s="51" customFormat="1" ht="13.5" customHeight="1" x14ac:dyDescent="0.2"/>
    <row r="516" s="51" customFormat="1" ht="13.5" customHeight="1" x14ac:dyDescent="0.2"/>
    <row r="517" s="51" customFormat="1" ht="13.5" customHeight="1" x14ac:dyDescent="0.2"/>
    <row r="518" s="51" customFormat="1" ht="13.5" customHeight="1" x14ac:dyDescent="0.2"/>
    <row r="519" s="51" customFormat="1" ht="13.5" customHeight="1" x14ac:dyDescent="0.2"/>
    <row r="520" s="51" customFormat="1" ht="13.5" customHeight="1" x14ac:dyDescent="0.2"/>
    <row r="521" s="51" customFormat="1" ht="13.5" customHeight="1" x14ac:dyDescent="0.2"/>
    <row r="522" s="51" customFormat="1" ht="13.5" customHeight="1" x14ac:dyDescent="0.2"/>
    <row r="523" s="51" customFormat="1" ht="13.5" customHeight="1" x14ac:dyDescent="0.2"/>
    <row r="524" s="51" customFormat="1" ht="13.5" customHeight="1" x14ac:dyDescent="0.2"/>
    <row r="525" s="51" customFormat="1" ht="13.5" customHeight="1" x14ac:dyDescent="0.2"/>
    <row r="526" s="51" customFormat="1" ht="13.5" customHeight="1" x14ac:dyDescent="0.2"/>
    <row r="527" s="51" customFormat="1" ht="13.5" customHeight="1" x14ac:dyDescent="0.2"/>
    <row r="528" s="51" customFormat="1" ht="13.5" customHeight="1" x14ac:dyDescent="0.2"/>
    <row r="529" s="51" customFormat="1" ht="13.5" customHeight="1" x14ac:dyDescent="0.2"/>
    <row r="530" s="51" customFormat="1" ht="13.5" customHeight="1" x14ac:dyDescent="0.2"/>
    <row r="531" s="51" customFormat="1" ht="13.5" customHeight="1" x14ac:dyDescent="0.2"/>
    <row r="532" s="51" customFormat="1" ht="13.5" customHeight="1" x14ac:dyDescent="0.2"/>
    <row r="533" s="51" customFormat="1" ht="13.5" customHeight="1" x14ac:dyDescent="0.2"/>
    <row r="534" s="51" customFormat="1" ht="13.5" customHeight="1" x14ac:dyDescent="0.2"/>
    <row r="535" s="51" customFormat="1" ht="13.5" customHeight="1" x14ac:dyDescent="0.2"/>
    <row r="536" s="51" customFormat="1" ht="13.5" customHeight="1" x14ac:dyDescent="0.2"/>
    <row r="537" s="51" customFormat="1" ht="13.5" customHeight="1" x14ac:dyDescent="0.2"/>
    <row r="538" s="51" customFormat="1" ht="13.5" customHeight="1" x14ac:dyDescent="0.2"/>
    <row r="539" s="51" customFormat="1" ht="13.5" customHeight="1" x14ac:dyDescent="0.2"/>
    <row r="540" s="51" customFormat="1" ht="13.5" customHeight="1" x14ac:dyDescent="0.2"/>
    <row r="541" s="51" customFormat="1" ht="13.5" customHeight="1" x14ac:dyDescent="0.2"/>
    <row r="542" s="51" customFormat="1" ht="13.5" customHeight="1" x14ac:dyDescent="0.2"/>
    <row r="543" s="51" customFormat="1" ht="13.5" customHeight="1" x14ac:dyDescent="0.2"/>
    <row r="544" s="51" customFormat="1" ht="13.5" customHeight="1" x14ac:dyDescent="0.2"/>
    <row r="545" s="51" customFormat="1" ht="13.5" customHeight="1" x14ac:dyDescent="0.2"/>
    <row r="546" s="51" customFormat="1" ht="13.5" customHeight="1" x14ac:dyDescent="0.2"/>
    <row r="547" s="51" customFormat="1" ht="13.5" customHeight="1" x14ac:dyDescent="0.2"/>
    <row r="548" s="51" customFormat="1" ht="13.5" customHeight="1" x14ac:dyDescent="0.2"/>
    <row r="549" s="51" customFormat="1" ht="13.5" customHeight="1" x14ac:dyDescent="0.2"/>
    <row r="550" s="51" customFormat="1" ht="13.5" customHeight="1" x14ac:dyDescent="0.2"/>
    <row r="551" s="51" customFormat="1" ht="13.5" customHeight="1" x14ac:dyDescent="0.2"/>
    <row r="552" s="51" customFormat="1" ht="13.5" customHeight="1" x14ac:dyDescent="0.2"/>
    <row r="553" s="51" customFormat="1" ht="13.5" customHeight="1" x14ac:dyDescent="0.2"/>
    <row r="554" s="51" customFormat="1" ht="13.5" customHeight="1" x14ac:dyDescent="0.2"/>
    <row r="555" s="51" customFormat="1" ht="13.5" customHeight="1" x14ac:dyDescent="0.2"/>
    <row r="556" s="51" customFormat="1" ht="13.5" customHeight="1" x14ac:dyDescent="0.2"/>
    <row r="557" s="51" customFormat="1" ht="13.5" customHeight="1" x14ac:dyDescent="0.2"/>
    <row r="558" s="51" customFormat="1" ht="13.5" customHeight="1" x14ac:dyDescent="0.2"/>
    <row r="559" s="51" customFormat="1" ht="13.5" customHeight="1" x14ac:dyDescent="0.2"/>
    <row r="560" s="51" customFormat="1" ht="13.5" customHeight="1" x14ac:dyDescent="0.2"/>
    <row r="561" s="51" customFormat="1" ht="13.5" customHeight="1" x14ac:dyDescent="0.2"/>
    <row r="562" s="51" customFormat="1" ht="13.5" customHeight="1" x14ac:dyDescent="0.2"/>
    <row r="563" s="51" customFormat="1" ht="13.5" customHeight="1" x14ac:dyDescent="0.2"/>
    <row r="564" s="51" customFormat="1" ht="13.5" customHeight="1" x14ac:dyDescent="0.2"/>
    <row r="565" s="51" customFormat="1" ht="13.5" customHeight="1" x14ac:dyDescent="0.2"/>
    <row r="566" s="51" customFormat="1" ht="13.5" customHeight="1" x14ac:dyDescent="0.2"/>
    <row r="567" s="51" customFormat="1" ht="13.5" customHeight="1" x14ac:dyDescent="0.2"/>
    <row r="568" s="51" customFormat="1" ht="13.5" customHeight="1" x14ac:dyDescent="0.2"/>
    <row r="569" s="51" customFormat="1" ht="13.5" customHeight="1" x14ac:dyDescent="0.2"/>
    <row r="570" s="51" customFormat="1" ht="13.5" customHeight="1" x14ac:dyDescent="0.2"/>
    <row r="571" s="51" customFormat="1" ht="13.5" customHeight="1" x14ac:dyDescent="0.2"/>
    <row r="572" s="51" customFormat="1" ht="13.5" customHeight="1" x14ac:dyDescent="0.2"/>
    <row r="573" s="51" customFormat="1" ht="13.5" customHeight="1" x14ac:dyDescent="0.2"/>
    <row r="574" s="51" customFormat="1" ht="13.5" customHeight="1" x14ac:dyDescent="0.2"/>
    <row r="575" s="51" customFormat="1" ht="13.5" customHeight="1" x14ac:dyDescent="0.2"/>
    <row r="576" s="51" customFormat="1" ht="13.5" customHeight="1" x14ac:dyDescent="0.2"/>
    <row r="577" s="51" customFormat="1" ht="13.5" customHeight="1" x14ac:dyDescent="0.2"/>
    <row r="578" s="51" customFormat="1" ht="13.5" customHeight="1" x14ac:dyDescent="0.2"/>
    <row r="579" s="51" customFormat="1" ht="13.5" customHeight="1" x14ac:dyDescent="0.2"/>
    <row r="580" s="51" customFormat="1" ht="13.5" customHeight="1" x14ac:dyDescent="0.2"/>
    <row r="581" s="51" customFormat="1" ht="13.5" customHeight="1" x14ac:dyDescent="0.2"/>
    <row r="582" s="51" customFormat="1" ht="13.5" customHeight="1" x14ac:dyDescent="0.2"/>
    <row r="583" s="51" customFormat="1" ht="13.5" customHeight="1" x14ac:dyDescent="0.2"/>
    <row r="584" s="51" customFormat="1" ht="13.5" customHeight="1" x14ac:dyDescent="0.2"/>
    <row r="585" s="51" customFormat="1" ht="13.5" customHeight="1" x14ac:dyDescent="0.2"/>
    <row r="586" s="51" customFormat="1" ht="13.5" customHeight="1" x14ac:dyDescent="0.2"/>
    <row r="587" s="51" customFormat="1" ht="13.5" customHeight="1" x14ac:dyDescent="0.2"/>
    <row r="588" s="51" customFormat="1" ht="13.5" customHeight="1" x14ac:dyDescent="0.2"/>
    <row r="589" s="51" customFormat="1" ht="13.5" customHeight="1" x14ac:dyDescent="0.2"/>
    <row r="590" s="51" customFormat="1" ht="13.5" customHeight="1" x14ac:dyDescent="0.2"/>
    <row r="591" s="51" customFormat="1" ht="13.5" customHeight="1" x14ac:dyDescent="0.2"/>
    <row r="592" s="51" customFormat="1" ht="13.5" customHeight="1" x14ac:dyDescent="0.2"/>
    <row r="593" s="51" customFormat="1" ht="13.5" customHeight="1" x14ac:dyDescent="0.2"/>
    <row r="594" s="51" customFormat="1" ht="13.5" customHeight="1" x14ac:dyDescent="0.2"/>
    <row r="595" s="51" customFormat="1" ht="13.5" customHeight="1" x14ac:dyDescent="0.2"/>
    <row r="596" s="51" customFormat="1" ht="13.5" customHeight="1" x14ac:dyDescent="0.2"/>
    <row r="597" s="51" customFormat="1" ht="13.5" customHeight="1" x14ac:dyDescent="0.2"/>
    <row r="598" s="51" customFormat="1" ht="13.5" customHeight="1" x14ac:dyDescent="0.2"/>
    <row r="599" s="51" customFormat="1" ht="13.5" customHeight="1" x14ac:dyDescent="0.2"/>
    <row r="600" s="51" customFormat="1" ht="13.5" customHeight="1" x14ac:dyDescent="0.2"/>
    <row r="601" s="51" customFormat="1" ht="13.5" customHeight="1" x14ac:dyDescent="0.2"/>
    <row r="602" s="51" customFormat="1" ht="13.5" customHeight="1" x14ac:dyDescent="0.2"/>
    <row r="603" s="51" customFormat="1" ht="13.5" customHeight="1" x14ac:dyDescent="0.2"/>
    <row r="604" s="51" customFormat="1" ht="13.5" customHeight="1" x14ac:dyDescent="0.2"/>
    <row r="605" s="51" customFormat="1" ht="13.5" customHeight="1" x14ac:dyDescent="0.2"/>
    <row r="606" s="51" customFormat="1" ht="13.5" customHeight="1" x14ac:dyDescent="0.2"/>
    <row r="607" s="51" customFormat="1" ht="13.5" customHeight="1" x14ac:dyDescent="0.2"/>
    <row r="608" s="51" customFormat="1" ht="13.5" customHeight="1" x14ac:dyDescent="0.2"/>
    <row r="609" s="51" customFormat="1" ht="13.5" customHeight="1" x14ac:dyDescent="0.2"/>
    <row r="610" s="51" customFormat="1" ht="13.5" customHeight="1" x14ac:dyDescent="0.2"/>
    <row r="611" s="51" customFormat="1" ht="13.5" customHeight="1" x14ac:dyDescent="0.2"/>
    <row r="612" s="51" customFormat="1" ht="13.5" customHeight="1" x14ac:dyDescent="0.2"/>
    <row r="613" s="51" customFormat="1" ht="13.5" customHeight="1" x14ac:dyDescent="0.2"/>
    <row r="614" s="51" customFormat="1" ht="13.5" customHeight="1" x14ac:dyDescent="0.2"/>
    <row r="615" s="51" customFormat="1" ht="13.5" customHeight="1" x14ac:dyDescent="0.2"/>
    <row r="616" s="51" customFormat="1" ht="13.5" customHeight="1" x14ac:dyDescent="0.2"/>
    <row r="617" s="51" customFormat="1" ht="13.5" customHeight="1" x14ac:dyDescent="0.2"/>
    <row r="618" s="51" customFormat="1" ht="13.5" customHeight="1" x14ac:dyDescent="0.2"/>
    <row r="619" s="51" customFormat="1" ht="13.5" customHeight="1" x14ac:dyDescent="0.2"/>
    <row r="620" s="51" customFormat="1" ht="13.5" customHeight="1" x14ac:dyDescent="0.2"/>
    <row r="621" s="51" customFormat="1" ht="13.5" customHeight="1" x14ac:dyDescent="0.2"/>
    <row r="622" s="51" customFormat="1" ht="13.5" customHeight="1" x14ac:dyDescent="0.2"/>
    <row r="623" s="51" customFormat="1" ht="13.5" customHeight="1" x14ac:dyDescent="0.2"/>
    <row r="624" s="51" customFormat="1" ht="13.5" customHeight="1" x14ac:dyDescent="0.2"/>
    <row r="625" s="51" customFormat="1" ht="13.5" customHeight="1" x14ac:dyDescent="0.2"/>
    <row r="626" s="51" customFormat="1" ht="13.5" customHeight="1" x14ac:dyDescent="0.2"/>
    <row r="627" s="51" customFormat="1" ht="13.5" customHeight="1" x14ac:dyDescent="0.2"/>
    <row r="628" s="51" customFormat="1" ht="13.5" customHeight="1" x14ac:dyDescent="0.2"/>
    <row r="629" s="51" customFormat="1" ht="13.5" customHeight="1" x14ac:dyDescent="0.2"/>
    <row r="630" s="51" customFormat="1" ht="13.5" customHeight="1" x14ac:dyDescent="0.2"/>
    <row r="631" s="51" customFormat="1" ht="13.5" customHeight="1" x14ac:dyDescent="0.2"/>
    <row r="632" s="51" customFormat="1" ht="13.5" customHeight="1" x14ac:dyDescent="0.2"/>
    <row r="633" s="51" customFormat="1" ht="13.5" customHeight="1" x14ac:dyDescent="0.2"/>
    <row r="634" s="51" customFormat="1" ht="13.5" customHeight="1" x14ac:dyDescent="0.2"/>
    <row r="635" s="51" customFormat="1" ht="13.5" customHeight="1" x14ac:dyDescent="0.2"/>
    <row r="636" s="51" customFormat="1" ht="13.5" customHeight="1" x14ac:dyDescent="0.2"/>
    <row r="637" s="51" customFormat="1" ht="13.5" customHeight="1" x14ac:dyDescent="0.2"/>
    <row r="638" s="51" customFormat="1" ht="13.5" customHeight="1" x14ac:dyDescent="0.2"/>
    <row r="639" s="51" customFormat="1" ht="13.5" customHeight="1" x14ac:dyDescent="0.2"/>
    <row r="640" s="51" customFormat="1" ht="13.5" customHeight="1" x14ac:dyDescent="0.2"/>
    <row r="641" s="51" customFormat="1" ht="13.5" customHeight="1" x14ac:dyDescent="0.2"/>
    <row r="642" s="51" customFormat="1" ht="13.5" customHeight="1" x14ac:dyDescent="0.2"/>
    <row r="643" s="51" customFormat="1" ht="13.5" customHeight="1" x14ac:dyDescent="0.2"/>
    <row r="644" s="51" customFormat="1" ht="13.5" customHeight="1" x14ac:dyDescent="0.2"/>
    <row r="645" s="51" customFormat="1" ht="13.5" customHeight="1" x14ac:dyDescent="0.2"/>
    <row r="646" s="51" customFormat="1" ht="13.5" customHeight="1" x14ac:dyDescent="0.2"/>
    <row r="647" s="51" customFormat="1" ht="13.5" customHeight="1" x14ac:dyDescent="0.2"/>
    <row r="648" s="51" customFormat="1" ht="13.5" customHeight="1" x14ac:dyDescent="0.2"/>
    <row r="649" s="51" customFormat="1" ht="13.5" customHeight="1" x14ac:dyDescent="0.2"/>
    <row r="650" s="51" customFormat="1" ht="13.5" customHeight="1" x14ac:dyDescent="0.2"/>
    <row r="651" s="51" customFormat="1" ht="13.5" customHeight="1" x14ac:dyDescent="0.2"/>
    <row r="652" s="51" customFormat="1" ht="13.5" customHeight="1" x14ac:dyDescent="0.2"/>
    <row r="653" s="51" customFormat="1" ht="13.5" customHeight="1" x14ac:dyDescent="0.2"/>
    <row r="654" s="51" customFormat="1" ht="13.5" customHeight="1" x14ac:dyDescent="0.2"/>
    <row r="655" s="51" customFormat="1" ht="13.5" customHeight="1" x14ac:dyDescent="0.2"/>
    <row r="656" s="51" customFormat="1" ht="13.5" customHeight="1" x14ac:dyDescent="0.2"/>
    <row r="657" s="51" customFormat="1" ht="13.5" customHeight="1" x14ac:dyDescent="0.2"/>
    <row r="658" s="51" customFormat="1" ht="13.5" customHeight="1" x14ac:dyDescent="0.2"/>
    <row r="659" s="51" customFormat="1" ht="13.5" customHeight="1" x14ac:dyDescent="0.2"/>
    <row r="660" s="51" customFormat="1" ht="13.5" customHeight="1" x14ac:dyDescent="0.2"/>
    <row r="661" s="51" customFormat="1" ht="13.5" customHeight="1" x14ac:dyDescent="0.2"/>
    <row r="662" s="51" customFormat="1" ht="13.5" customHeight="1" x14ac:dyDescent="0.2"/>
    <row r="663" s="51" customFormat="1" ht="13.5" customHeight="1" x14ac:dyDescent="0.2"/>
    <row r="664" s="51" customFormat="1" ht="13.5" customHeight="1" x14ac:dyDescent="0.2"/>
    <row r="665" s="51" customFormat="1" ht="13.5" customHeight="1" x14ac:dyDescent="0.2"/>
    <row r="666" s="51" customFormat="1" ht="13.5" customHeight="1" x14ac:dyDescent="0.2"/>
    <row r="667" s="51" customFormat="1" ht="13.5" customHeight="1" x14ac:dyDescent="0.2"/>
    <row r="668" s="51" customFormat="1" ht="13.5" customHeight="1" x14ac:dyDescent="0.2"/>
    <row r="669" s="51" customFormat="1" ht="13.5" customHeight="1" x14ac:dyDescent="0.2"/>
    <row r="670" s="51" customFormat="1" ht="13.5" customHeight="1" x14ac:dyDescent="0.2"/>
    <row r="671" s="51" customFormat="1" ht="13.5" customHeight="1" x14ac:dyDescent="0.2"/>
    <row r="672" s="51" customFormat="1" ht="13.5" customHeight="1" x14ac:dyDescent="0.2"/>
    <row r="673" s="51" customFormat="1" ht="13.5" customHeight="1" x14ac:dyDescent="0.2"/>
    <row r="674" s="51" customFormat="1" ht="13.5" customHeight="1" x14ac:dyDescent="0.2"/>
    <row r="675" s="51" customFormat="1" ht="13.5" customHeight="1" x14ac:dyDescent="0.2"/>
    <row r="676" s="51" customFormat="1" ht="13.5" customHeight="1" x14ac:dyDescent="0.2"/>
    <row r="677" s="51" customFormat="1" ht="13.5" customHeight="1" x14ac:dyDescent="0.2"/>
    <row r="678" s="51" customFormat="1" ht="13.5" customHeight="1" x14ac:dyDescent="0.2"/>
    <row r="679" s="51" customFormat="1" ht="13.5" customHeight="1" x14ac:dyDescent="0.2"/>
    <row r="680" s="51" customFormat="1" ht="13.5" customHeight="1" x14ac:dyDescent="0.2"/>
    <row r="681" s="51" customFormat="1" ht="13.5" customHeight="1" x14ac:dyDescent="0.2"/>
    <row r="682" s="51" customFormat="1" ht="13.5" customHeight="1" x14ac:dyDescent="0.2"/>
    <row r="683" s="51" customFormat="1" ht="13.5" customHeight="1" x14ac:dyDescent="0.2"/>
    <row r="684" s="51" customFormat="1" ht="13.5" customHeight="1" x14ac:dyDescent="0.2"/>
    <row r="685" s="51" customFormat="1" ht="13.5" customHeight="1" x14ac:dyDescent="0.2"/>
    <row r="686" s="51" customFormat="1" ht="13.5" customHeight="1" x14ac:dyDescent="0.2"/>
    <row r="687" s="51" customFormat="1" ht="13.5" customHeight="1" x14ac:dyDescent="0.2"/>
    <row r="688" s="51" customFormat="1" ht="13.5" customHeight="1" x14ac:dyDescent="0.2"/>
    <row r="689" s="51" customFormat="1" ht="13.5" customHeight="1" x14ac:dyDescent="0.2"/>
    <row r="690" s="51" customFormat="1" ht="13.5" customHeight="1" x14ac:dyDescent="0.2"/>
    <row r="691" s="51" customFormat="1" ht="13.5" customHeight="1" x14ac:dyDescent="0.2"/>
    <row r="692" s="51" customFormat="1" ht="13.5" customHeight="1" x14ac:dyDescent="0.2"/>
    <row r="693" s="51" customFormat="1" ht="13.5" customHeight="1" x14ac:dyDescent="0.2"/>
    <row r="694" s="51" customFormat="1" ht="13.5" customHeight="1" x14ac:dyDescent="0.2"/>
    <row r="695" s="51" customFormat="1" ht="13.5" customHeight="1" x14ac:dyDescent="0.2"/>
    <row r="696" s="51" customFormat="1" ht="13.5" customHeight="1" x14ac:dyDescent="0.2"/>
    <row r="697" s="51" customFormat="1" ht="13.5" customHeight="1" x14ac:dyDescent="0.2"/>
    <row r="698" s="51" customFormat="1" ht="13.5" customHeight="1" x14ac:dyDescent="0.2"/>
    <row r="699" s="51" customFormat="1" ht="13.5" customHeight="1" x14ac:dyDescent="0.2"/>
    <row r="700" s="51" customFormat="1" ht="13.5" customHeight="1" x14ac:dyDescent="0.2"/>
    <row r="701" s="51" customFormat="1" ht="13.5" customHeight="1" x14ac:dyDescent="0.2"/>
    <row r="702" s="51" customFormat="1" ht="13.5" customHeight="1" x14ac:dyDescent="0.2"/>
    <row r="703" s="51" customFormat="1" ht="13.5" customHeight="1" x14ac:dyDescent="0.2"/>
    <row r="704" s="51" customFormat="1" ht="13.5" customHeight="1" x14ac:dyDescent="0.2"/>
    <row r="705" s="51" customFormat="1" ht="13.5" customHeight="1" x14ac:dyDescent="0.2"/>
    <row r="706" s="51" customFormat="1" ht="13.5" customHeight="1" x14ac:dyDescent="0.2"/>
    <row r="707" s="51" customFormat="1" ht="13.5" customHeight="1" x14ac:dyDescent="0.2"/>
    <row r="708" s="51" customFormat="1" ht="13.5" customHeight="1" x14ac:dyDescent="0.2"/>
    <row r="709" s="51" customFormat="1" ht="13.5" customHeight="1" x14ac:dyDescent="0.2"/>
    <row r="710" s="51" customFormat="1" ht="13.5" customHeight="1" x14ac:dyDescent="0.2"/>
    <row r="711" s="51" customFormat="1" ht="13.5" customHeight="1" x14ac:dyDescent="0.2"/>
    <row r="712" s="51" customFormat="1" ht="13.5" customHeight="1" x14ac:dyDescent="0.2"/>
    <row r="713" s="51" customFormat="1" ht="13.5" customHeight="1" x14ac:dyDescent="0.2"/>
    <row r="714" s="51" customFormat="1" ht="13.5" customHeight="1" x14ac:dyDescent="0.2"/>
    <row r="715" s="51" customFormat="1" ht="13.5" customHeight="1" x14ac:dyDescent="0.2"/>
    <row r="716" s="51" customFormat="1" ht="13.5" customHeight="1" x14ac:dyDescent="0.2"/>
    <row r="717" s="51" customFormat="1" ht="13.5" customHeight="1" x14ac:dyDescent="0.2"/>
    <row r="718" s="51" customFormat="1" ht="13.5" customHeight="1" x14ac:dyDescent="0.2"/>
    <row r="719" s="51" customFormat="1" ht="13.5" customHeight="1" x14ac:dyDescent="0.2"/>
    <row r="720" s="51" customFormat="1" ht="13.5" customHeight="1" x14ac:dyDescent="0.2"/>
    <row r="721" s="51" customFormat="1" ht="13.5" customHeight="1" x14ac:dyDescent="0.2"/>
    <row r="722" s="51" customFormat="1" ht="13.5" customHeight="1" x14ac:dyDescent="0.2"/>
    <row r="723" s="51" customFormat="1" ht="13.5" customHeight="1" x14ac:dyDescent="0.2"/>
    <row r="724" s="51" customFormat="1" ht="13.5" customHeight="1" x14ac:dyDescent="0.2"/>
    <row r="725" s="51" customFormat="1" ht="13.5" customHeight="1" x14ac:dyDescent="0.2"/>
    <row r="726" s="51" customFormat="1" ht="13.5" customHeight="1" x14ac:dyDescent="0.2"/>
    <row r="727" s="51" customFormat="1" ht="13.5" customHeight="1" x14ac:dyDescent="0.2"/>
    <row r="728" s="51" customFormat="1" ht="13.5" customHeight="1" x14ac:dyDescent="0.2"/>
    <row r="729" s="51" customFormat="1" ht="13.5" customHeight="1" x14ac:dyDescent="0.2"/>
    <row r="730" s="51" customFormat="1" ht="13.5" customHeight="1" x14ac:dyDescent="0.2"/>
    <row r="731" s="51" customFormat="1" ht="13.5" customHeight="1" x14ac:dyDescent="0.2"/>
    <row r="732" s="51" customFormat="1" ht="13.5" customHeight="1" x14ac:dyDescent="0.2"/>
    <row r="733" s="51" customFormat="1" ht="13.5" customHeight="1" x14ac:dyDescent="0.2"/>
    <row r="734" s="51" customFormat="1" ht="13.5" customHeight="1" x14ac:dyDescent="0.2"/>
    <row r="735" s="51" customFormat="1" ht="13.5" customHeight="1" x14ac:dyDescent="0.2"/>
    <row r="736" s="51" customFormat="1" ht="13.5" customHeight="1" x14ac:dyDescent="0.2"/>
    <row r="737" s="51" customFormat="1" ht="13.5" customHeight="1" x14ac:dyDescent="0.2"/>
    <row r="738" s="51" customFormat="1" ht="13.5" customHeight="1" x14ac:dyDescent="0.2"/>
    <row r="739" s="51" customFormat="1" ht="13.5" customHeight="1" x14ac:dyDescent="0.2"/>
    <row r="740" s="51" customFormat="1" ht="13.5" customHeight="1" x14ac:dyDescent="0.2"/>
    <row r="741" s="51" customFormat="1" ht="13.5" customHeight="1" x14ac:dyDescent="0.2"/>
    <row r="742" s="51" customFormat="1" ht="13.5" customHeight="1" x14ac:dyDescent="0.2"/>
    <row r="743" s="51" customFormat="1" ht="13.5" customHeight="1" x14ac:dyDescent="0.2"/>
    <row r="744" s="51" customFormat="1" ht="13.5" customHeight="1" x14ac:dyDescent="0.2"/>
    <row r="745" s="51" customFormat="1" ht="13.5" customHeight="1" x14ac:dyDescent="0.2"/>
    <row r="746" s="51" customFormat="1" ht="13.5" customHeight="1" x14ac:dyDescent="0.2"/>
    <row r="747" s="51" customFormat="1" ht="13.5" customHeight="1" x14ac:dyDescent="0.2"/>
    <row r="748" s="51" customFormat="1" ht="13.5" customHeight="1" x14ac:dyDescent="0.2"/>
    <row r="749" s="51" customFormat="1" ht="13.5" customHeight="1" x14ac:dyDescent="0.2"/>
    <row r="750" s="51" customFormat="1" ht="13.5" customHeight="1" x14ac:dyDescent="0.2"/>
    <row r="751" s="51" customFormat="1" ht="13.5" customHeight="1" x14ac:dyDescent="0.2"/>
    <row r="752" s="51" customFormat="1" ht="13.5" customHeight="1" x14ac:dyDescent="0.2"/>
    <row r="753" s="51" customFormat="1" ht="13.5" customHeight="1" x14ac:dyDescent="0.2"/>
    <row r="754" s="51" customFormat="1" ht="13.5" customHeight="1" x14ac:dyDescent="0.2"/>
    <row r="755" s="51" customFormat="1" ht="13.5" customHeight="1" x14ac:dyDescent="0.2"/>
    <row r="756" s="51" customFormat="1" ht="13.5" customHeight="1" x14ac:dyDescent="0.2"/>
    <row r="757" s="51" customFormat="1" ht="13.5" customHeight="1" x14ac:dyDescent="0.2"/>
    <row r="758" s="51" customFormat="1" ht="13.5" customHeight="1" x14ac:dyDescent="0.2"/>
    <row r="759" s="51" customFormat="1" ht="13.5" customHeight="1" x14ac:dyDescent="0.2"/>
    <row r="760" s="51" customFormat="1" ht="13.5" customHeight="1" x14ac:dyDescent="0.2"/>
    <row r="761" s="51" customFormat="1" ht="13.5" customHeight="1" x14ac:dyDescent="0.2"/>
    <row r="762" s="51" customFormat="1" ht="13.5" customHeight="1" x14ac:dyDescent="0.2"/>
    <row r="763" s="51" customFormat="1" ht="13.5" customHeight="1" x14ac:dyDescent="0.2"/>
    <row r="764" s="51" customFormat="1" ht="13.5" customHeight="1" x14ac:dyDescent="0.2"/>
    <row r="765" s="51" customFormat="1" ht="13.5" customHeight="1" x14ac:dyDescent="0.2"/>
    <row r="766" s="51" customFormat="1" ht="13.5" customHeight="1" x14ac:dyDescent="0.2"/>
    <row r="767" s="51" customFormat="1" ht="13.5" customHeight="1" x14ac:dyDescent="0.2"/>
    <row r="768" s="51" customFormat="1" ht="13.5" customHeight="1" x14ac:dyDescent="0.2"/>
    <row r="769" s="51" customFormat="1" ht="13.5" customHeight="1" x14ac:dyDescent="0.2"/>
    <row r="770" s="51" customFormat="1" ht="13.5" customHeight="1" x14ac:dyDescent="0.2"/>
    <row r="771" s="51" customFormat="1" ht="13.5" customHeight="1" x14ac:dyDescent="0.2"/>
    <row r="772" s="51" customFormat="1" ht="13.5" customHeight="1" x14ac:dyDescent="0.2"/>
    <row r="773" s="51" customFormat="1" ht="13.5" customHeight="1" x14ac:dyDescent="0.2"/>
    <row r="774" s="51" customFormat="1" ht="13.5" customHeight="1" x14ac:dyDescent="0.2"/>
    <row r="775" s="51" customFormat="1" ht="13.5" customHeight="1" x14ac:dyDescent="0.2"/>
    <row r="776" s="51" customFormat="1" ht="13.5" customHeight="1" x14ac:dyDescent="0.2"/>
    <row r="777" s="51" customFormat="1" ht="13.5" customHeight="1" x14ac:dyDescent="0.2"/>
    <row r="778" s="51" customFormat="1" ht="13.5" customHeight="1" x14ac:dyDescent="0.2"/>
    <row r="779" s="51" customFormat="1" ht="13.5" customHeight="1" x14ac:dyDescent="0.2"/>
    <row r="780" s="51" customFormat="1" ht="13.5" customHeight="1" x14ac:dyDescent="0.2"/>
    <row r="781" s="51" customFormat="1" ht="13.5" customHeight="1" x14ac:dyDescent="0.2"/>
    <row r="782" s="51" customFormat="1" ht="13.5" customHeight="1" x14ac:dyDescent="0.2"/>
    <row r="783" s="51" customFormat="1" ht="13.5" customHeight="1" x14ac:dyDescent="0.2"/>
    <row r="784" s="51" customFormat="1" ht="13.5" customHeight="1" x14ac:dyDescent="0.2"/>
    <row r="785" s="51" customFormat="1" ht="13.5" customHeight="1" x14ac:dyDescent="0.2"/>
    <row r="786" s="51" customFormat="1" ht="13.5" customHeight="1" x14ac:dyDescent="0.2"/>
    <row r="787" s="51" customFormat="1" ht="13.5" customHeight="1" x14ac:dyDescent="0.2"/>
    <row r="788" s="51" customFormat="1" ht="13.5" customHeight="1" x14ac:dyDescent="0.2"/>
    <row r="789" s="51" customFormat="1" ht="13.5" customHeight="1" x14ac:dyDescent="0.2"/>
    <row r="790" s="51" customFormat="1" ht="13.5" customHeight="1" x14ac:dyDescent="0.2"/>
    <row r="791" s="51" customFormat="1" ht="13.5" customHeight="1" x14ac:dyDescent="0.2"/>
    <row r="792" s="51" customFormat="1" ht="13.5" customHeight="1" x14ac:dyDescent="0.2"/>
    <row r="793" s="51" customFormat="1" ht="13.5" customHeight="1" x14ac:dyDescent="0.2"/>
    <row r="794" s="51" customFormat="1" ht="13.5" customHeight="1" x14ac:dyDescent="0.2"/>
    <row r="795" s="51" customFormat="1" ht="13.5" customHeight="1" x14ac:dyDescent="0.2"/>
    <row r="796" s="51" customFormat="1" ht="13.5" customHeight="1" x14ac:dyDescent="0.2"/>
    <row r="797" s="51" customFormat="1" ht="13.5" customHeight="1" x14ac:dyDescent="0.2"/>
    <row r="798" s="51" customFormat="1" ht="13.5" customHeight="1" x14ac:dyDescent="0.2"/>
    <row r="799" s="51" customFormat="1" ht="13.5" customHeight="1" x14ac:dyDescent="0.2"/>
    <row r="800" s="51" customFormat="1" ht="13.5" customHeight="1" x14ac:dyDescent="0.2"/>
    <row r="801" s="51" customFormat="1" ht="13.5" customHeight="1" x14ac:dyDescent="0.2"/>
    <row r="802" s="51" customFormat="1" ht="13.5" customHeight="1" x14ac:dyDescent="0.2"/>
    <row r="803" s="51" customFormat="1" ht="13.5" customHeight="1" x14ac:dyDescent="0.2"/>
    <row r="804" s="51" customFormat="1" ht="13.5" customHeight="1" x14ac:dyDescent="0.2"/>
    <row r="805" s="51" customFormat="1" ht="13.5" customHeight="1" x14ac:dyDescent="0.2"/>
    <row r="806" s="51" customFormat="1" ht="13.5" customHeight="1" x14ac:dyDescent="0.2"/>
    <row r="807" s="51" customFormat="1" ht="13.5" customHeight="1" x14ac:dyDescent="0.2"/>
    <row r="808" s="51" customFormat="1" ht="13.5" customHeight="1" x14ac:dyDescent="0.2"/>
    <row r="809" s="51" customFormat="1" ht="13.5" customHeight="1" x14ac:dyDescent="0.2"/>
    <row r="810" s="51" customFormat="1" ht="13.5" customHeight="1" x14ac:dyDescent="0.2"/>
    <row r="811" s="51" customFormat="1" ht="13.5" customHeight="1" x14ac:dyDescent="0.2"/>
    <row r="812" s="51" customFormat="1" ht="13.5" customHeight="1" x14ac:dyDescent="0.2"/>
    <row r="813" s="51" customFormat="1" ht="13.5" customHeight="1" x14ac:dyDescent="0.2"/>
    <row r="814" s="51" customFormat="1" ht="13.5" customHeight="1" x14ac:dyDescent="0.2"/>
    <row r="815" s="51" customFormat="1" ht="13.5" customHeight="1" x14ac:dyDescent="0.2"/>
    <row r="816" s="51" customFormat="1" ht="13.5" customHeight="1" x14ac:dyDescent="0.2"/>
    <row r="817" s="51" customFormat="1" ht="13.5" customHeight="1" x14ac:dyDescent="0.2"/>
    <row r="818" s="51" customFormat="1" ht="13.5" customHeight="1" x14ac:dyDescent="0.2"/>
    <row r="819" s="51" customFormat="1" ht="13.5" customHeight="1" x14ac:dyDescent="0.2"/>
    <row r="820" s="51" customFormat="1" ht="13.5" customHeight="1" x14ac:dyDescent="0.2"/>
    <row r="821" s="51" customFormat="1" ht="13.5" customHeight="1" x14ac:dyDescent="0.2"/>
    <row r="822" s="51" customFormat="1" ht="13.5" customHeight="1" x14ac:dyDescent="0.2"/>
    <row r="823" s="51" customFormat="1" ht="13.5" customHeight="1" x14ac:dyDescent="0.2"/>
    <row r="824" s="51" customFormat="1" ht="13.5" customHeight="1" x14ac:dyDescent="0.2"/>
    <row r="825" s="51" customFormat="1" ht="13.5" customHeight="1" x14ac:dyDescent="0.2"/>
    <row r="826" s="51" customFormat="1" ht="13.5" customHeight="1" x14ac:dyDescent="0.2"/>
    <row r="827" s="51" customFormat="1" ht="13.5" customHeight="1" x14ac:dyDescent="0.2"/>
    <row r="828" s="51" customFormat="1" ht="13.5" customHeight="1" x14ac:dyDescent="0.2"/>
    <row r="829" s="51" customFormat="1" ht="13.5" customHeight="1" x14ac:dyDescent="0.2"/>
    <row r="830" s="51" customFormat="1" ht="13.5" customHeight="1" x14ac:dyDescent="0.2"/>
    <row r="831" s="51" customFormat="1" ht="13.5" customHeight="1" x14ac:dyDescent="0.2"/>
    <row r="832" s="51" customFormat="1" ht="13.5" customHeight="1" x14ac:dyDescent="0.2"/>
    <row r="833" s="51" customFormat="1" ht="13.5" customHeight="1" x14ac:dyDescent="0.2"/>
    <row r="834" s="51" customFormat="1" ht="13.5" customHeight="1" x14ac:dyDescent="0.2"/>
    <row r="835" s="51" customFormat="1" ht="13.5" customHeight="1" x14ac:dyDescent="0.2"/>
    <row r="836" s="51" customFormat="1" ht="13.5" customHeight="1" x14ac:dyDescent="0.2"/>
    <row r="837" s="51" customFormat="1" ht="13.5" customHeight="1" x14ac:dyDescent="0.2"/>
    <row r="838" s="51" customFormat="1" ht="13.5" customHeight="1" x14ac:dyDescent="0.2"/>
    <row r="839" s="51" customFormat="1" ht="13.5" customHeight="1" x14ac:dyDescent="0.2"/>
    <row r="840" s="51" customFormat="1" ht="13.5" customHeight="1" x14ac:dyDescent="0.2"/>
    <row r="841" s="51" customFormat="1" ht="13.5" customHeight="1" x14ac:dyDescent="0.2"/>
    <row r="842" s="51" customFormat="1" ht="13.5" customHeight="1" x14ac:dyDescent="0.2"/>
    <row r="843" s="51" customFormat="1" ht="13.5" customHeight="1" x14ac:dyDescent="0.2"/>
    <row r="844" s="51" customFormat="1" ht="13.5" customHeight="1" x14ac:dyDescent="0.2"/>
    <row r="845" s="51" customFormat="1" ht="13.5" customHeight="1" x14ac:dyDescent="0.2"/>
    <row r="846" s="51" customFormat="1" ht="13.5" customHeight="1" x14ac:dyDescent="0.2"/>
    <row r="847" s="51" customFormat="1" ht="13.5" customHeight="1" x14ac:dyDescent="0.2"/>
    <row r="848" s="51" customFormat="1" ht="13.5" customHeight="1" x14ac:dyDescent="0.2"/>
    <row r="849" s="51" customFormat="1" ht="13.5" customHeight="1" x14ac:dyDescent="0.2"/>
    <row r="850" s="51" customFormat="1" ht="13.5" customHeight="1" x14ac:dyDescent="0.2"/>
    <row r="851" s="51" customFormat="1" ht="13.5" customHeight="1" x14ac:dyDescent="0.2"/>
    <row r="852" s="51" customFormat="1" ht="13.5" customHeight="1" x14ac:dyDescent="0.2"/>
    <row r="853" s="51" customFormat="1" ht="13.5" customHeight="1" x14ac:dyDescent="0.2"/>
    <row r="854" s="51" customFormat="1" ht="13.5" customHeight="1" x14ac:dyDescent="0.2"/>
    <row r="855" s="51" customFormat="1" ht="13.5" customHeight="1" x14ac:dyDescent="0.2"/>
    <row r="856" s="51" customFormat="1" ht="13.5" customHeight="1" x14ac:dyDescent="0.2"/>
    <row r="857" s="51" customFormat="1" ht="13.5" customHeight="1" x14ac:dyDescent="0.2"/>
    <row r="858" s="51" customFormat="1" ht="13.5" customHeight="1" x14ac:dyDescent="0.2"/>
    <row r="859" s="51" customFormat="1" ht="13.5" customHeight="1" x14ac:dyDescent="0.2"/>
    <row r="860" s="51" customFormat="1" ht="13.5" customHeight="1" x14ac:dyDescent="0.2"/>
    <row r="861" s="51" customFormat="1" ht="13.5" customHeight="1" x14ac:dyDescent="0.2"/>
    <row r="862" s="51" customFormat="1" ht="13.5" customHeight="1" x14ac:dyDescent="0.2"/>
    <row r="863" s="51" customFormat="1" ht="13.5" customHeight="1" x14ac:dyDescent="0.2"/>
    <row r="864" s="51" customFormat="1" ht="13.5" customHeight="1" x14ac:dyDescent="0.2"/>
    <row r="865" s="51" customFormat="1" ht="13.5" customHeight="1" x14ac:dyDescent="0.2"/>
    <row r="866" s="51" customFormat="1" ht="13.5" customHeight="1" x14ac:dyDescent="0.2"/>
    <row r="867" s="51" customFormat="1" ht="13.5" customHeight="1" x14ac:dyDescent="0.2"/>
    <row r="868" s="51" customFormat="1" ht="13.5" customHeight="1" x14ac:dyDescent="0.2"/>
    <row r="869" s="51" customFormat="1" ht="13.5" customHeight="1" x14ac:dyDescent="0.2"/>
    <row r="870" s="51" customFormat="1" ht="13.5" customHeight="1" x14ac:dyDescent="0.2"/>
    <row r="871" s="51" customFormat="1" ht="13.5" customHeight="1" x14ac:dyDescent="0.2"/>
    <row r="872" s="51" customFormat="1" ht="13.5" customHeight="1" x14ac:dyDescent="0.2"/>
    <row r="873" s="51" customFormat="1" ht="13.5" customHeight="1" x14ac:dyDescent="0.2"/>
    <row r="874" s="51" customFormat="1" ht="13.5" customHeight="1" x14ac:dyDescent="0.2"/>
    <row r="875" s="51" customFormat="1" ht="13.5" customHeight="1" x14ac:dyDescent="0.2"/>
    <row r="876" s="51" customFormat="1" ht="13.5" customHeight="1" x14ac:dyDescent="0.2"/>
    <row r="877" s="51" customFormat="1" ht="13.5" customHeight="1" x14ac:dyDescent="0.2"/>
    <row r="878" s="51" customFormat="1" ht="13.5" customHeight="1" x14ac:dyDescent="0.2"/>
    <row r="879" s="51" customFormat="1" ht="13.5" customHeight="1" x14ac:dyDescent="0.2"/>
    <row r="880" s="51" customFormat="1" ht="13.5" customHeight="1" x14ac:dyDescent="0.2"/>
    <row r="881" s="51" customFormat="1" ht="13.5" customHeight="1" x14ac:dyDescent="0.2"/>
    <row r="882" s="51" customFormat="1" ht="13.5" customHeight="1" x14ac:dyDescent="0.2"/>
    <row r="883" s="51" customFormat="1" ht="13.5" customHeight="1" x14ac:dyDescent="0.2"/>
    <row r="884" s="51" customFormat="1" ht="13.5" customHeight="1" x14ac:dyDescent="0.2"/>
    <row r="885" s="51" customFormat="1" ht="13.5" customHeight="1" x14ac:dyDescent="0.2"/>
    <row r="886" s="51" customFormat="1" ht="13.5" customHeight="1" x14ac:dyDescent="0.2"/>
    <row r="887" s="51" customFormat="1" ht="13.5" customHeight="1" x14ac:dyDescent="0.2"/>
    <row r="888" s="51" customFormat="1" ht="13.5" customHeight="1" x14ac:dyDescent="0.2"/>
    <row r="889" s="51" customFormat="1" ht="13.5" customHeight="1" x14ac:dyDescent="0.2"/>
    <row r="890" s="51" customFormat="1" ht="13.5" customHeight="1" x14ac:dyDescent="0.2"/>
    <row r="891" s="51" customFormat="1" ht="13.5" customHeight="1" x14ac:dyDescent="0.2"/>
    <row r="892" s="51" customFormat="1" ht="13.5" customHeight="1" x14ac:dyDescent="0.2"/>
    <row r="893" s="51" customFormat="1" ht="13.5" customHeight="1" x14ac:dyDescent="0.2"/>
    <row r="894" s="51" customFormat="1" ht="13.5" customHeight="1" x14ac:dyDescent="0.2"/>
    <row r="895" s="51" customFormat="1" ht="13.5" customHeight="1" x14ac:dyDescent="0.2"/>
    <row r="896" s="51" customFormat="1" ht="13.5" customHeight="1" x14ac:dyDescent="0.2"/>
    <row r="897" s="51" customFormat="1" ht="13.5" customHeight="1" x14ac:dyDescent="0.2"/>
    <row r="898" s="51" customFormat="1" ht="13.5" customHeight="1" x14ac:dyDescent="0.2"/>
    <row r="899" s="51" customFormat="1" ht="13.5" customHeight="1" x14ac:dyDescent="0.2"/>
    <row r="900" s="51" customFormat="1" ht="13.5" customHeight="1" x14ac:dyDescent="0.2"/>
    <row r="901" s="51" customFormat="1" ht="13.5" customHeight="1" x14ac:dyDescent="0.2"/>
    <row r="902" s="51" customFormat="1" ht="13.5" customHeight="1" x14ac:dyDescent="0.2"/>
    <row r="903" s="51" customFormat="1" ht="13.5" customHeight="1" x14ac:dyDescent="0.2"/>
    <row r="904" s="51" customFormat="1" ht="13.5" customHeight="1" x14ac:dyDescent="0.2"/>
    <row r="905" s="51" customFormat="1" ht="13.5" customHeight="1" x14ac:dyDescent="0.2"/>
    <row r="906" s="51" customFormat="1" ht="13.5" customHeight="1" x14ac:dyDescent="0.2"/>
    <row r="907" s="51" customFormat="1" ht="13.5" customHeight="1" x14ac:dyDescent="0.2"/>
    <row r="908" s="51" customFormat="1" ht="13.5" customHeight="1" x14ac:dyDescent="0.2"/>
    <row r="909" s="51" customFormat="1" ht="13.5" customHeight="1" x14ac:dyDescent="0.2"/>
    <row r="910" s="51" customFormat="1" ht="13.5" customHeight="1" x14ac:dyDescent="0.2"/>
    <row r="911" s="51" customFormat="1" ht="13.5" customHeight="1" x14ac:dyDescent="0.2"/>
    <row r="912" s="51" customFormat="1" ht="13.5" customHeight="1" x14ac:dyDescent="0.2"/>
    <row r="913" s="51" customFormat="1" ht="13.5" customHeight="1" x14ac:dyDescent="0.2"/>
    <row r="914" s="51" customFormat="1" ht="13.5" customHeight="1" x14ac:dyDescent="0.2"/>
    <row r="915" s="51" customFormat="1" ht="13.5" customHeight="1" x14ac:dyDescent="0.2"/>
    <row r="916" s="51" customFormat="1" ht="13.5" customHeight="1" x14ac:dyDescent="0.2"/>
    <row r="917" s="51" customFormat="1" ht="13.5" customHeight="1" x14ac:dyDescent="0.2"/>
    <row r="918" s="51" customFormat="1" ht="13.5" customHeight="1" x14ac:dyDescent="0.2"/>
    <row r="919" s="51" customFormat="1" ht="13.5" customHeight="1" x14ac:dyDescent="0.2"/>
    <row r="920" s="51" customFormat="1" ht="13.5" customHeight="1" x14ac:dyDescent="0.2"/>
    <row r="921" s="51" customFormat="1" ht="13.5" customHeight="1" x14ac:dyDescent="0.2"/>
    <row r="922" s="51" customFormat="1" ht="13.5" customHeight="1" x14ac:dyDescent="0.2"/>
    <row r="923" s="51" customFormat="1" ht="13.5" customHeight="1" x14ac:dyDescent="0.2"/>
    <row r="924" s="51" customFormat="1" ht="13.5" customHeight="1" x14ac:dyDescent="0.2"/>
    <row r="925" s="51" customFormat="1" ht="13.5" customHeight="1" x14ac:dyDescent="0.2"/>
    <row r="926" s="51" customFormat="1" ht="13.5" customHeight="1" x14ac:dyDescent="0.2"/>
    <row r="927" s="51" customFormat="1" ht="13.5" customHeight="1" x14ac:dyDescent="0.2"/>
    <row r="928" s="51" customFormat="1" ht="13.5" customHeight="1" x14ac:dyDescent="0.2"/>
    <row r="929" s="51" customFormat="1" ht="13.5" customHeight="1" x14ac:dyDescent="0.2"/>
    <row r="930" s="51" customFormat="1" ht="13.5" customHeight="1" x14ac:dyDescent="0.2"/>
    <row r="931" s="51" customFormat="1" ht="13.5" customHeight="1" x14ac:dyDescent="0.2"/>
    <row r="932" s="51" customFormat="1" ht="13.5" customHeight="1" x14ac:dyDescent="0.2"/>
    <row r="933" s="51" customFormat="1" ht="13.5" customHeight="1" x14ac:dyDescent="0.2"/>
    <row r="934" s="51" customFormat="1" ht="13.5" customHeight="1" x14ac:dyDescent="0.2"/>
    <row r="935" s="51" customFormat="1" ht="13.5" customHeight="1" x14ac:dyDescent="0.2"/>
    <row r="936" s="51" customFormat="1" ht="13.5" customHeight="1" x14ac:dyDescent="0.2"/>
    <row r="937" s="51" customFormat="1" ht="13.5" customHeight="1" x14ac:dyDescent="0.2"/>
    <row r="938" s="51" customFormat="1" ht="13.5" customHeight="1" x14ac:dyDescent="0.2"/>
    <row r="939" s="51" customFormat="1" ht="13.5" customHeight="1" x14ac:dyDescent="0.2"/>
    <row r="940" s="51" customFormat="1" ht="13.5" customHeight="1" x14ac:dyDescent="0.2"/>
    <row r="941" s="51" customFormat="1" ht="13.5" customHeight="1" x14ac:dyDescent="0.2"/>
    <row r="942" s="51" customFormat="1" ht="13.5" customHeight="1" x14ac:dyDescent="0.2"/>
    <row r="943" s="51" customFormat="1" ht="13.5" customHeight="1" x14ac:dyDescent="0.2"/>
    <row r="944" s="51" customFormat="1" ht="13.5" customHeight="1" x14ac:dyDescent="0.2"/>
    <row r="945" s="51" customFormat="1" ht="13.5" customHeight="1" x14ac:dyDescent="0.2"/>
    <row r="946" s="51" customFormat="1" ht="13.5" customHeight="1" x14ac:dyDescent="0.2"/>
    <row r="947" s="51" customFormat="1" ht="13.5" customHeight="1" x14ac:dyDescent="0.2"/>
    <row r="948" s="51" customFormat="1" ht="13.5" customHeight="1" x14ac:dyDescent="0.2"/>
    <row r="949" s="51" customFormat="1" ht="13.5" customHeight="1" x14ac:dyDescent="0.2"/>
    <row r="950" s="51" customFormat="1" ht="13.5" customHeight="1" x14ac:dyDescent="0.2"/>
    <row r="951" s="51" customFormat="1" ht="13.5" customHeight="1" x14ac:dyDescent="0.2"/>
    <row r="952" s="51" customFormat="1" ht="13.5" customHeight="1" x14ac:dyDescent="0.2"/>
    <row r="953" s="51" customFormat="1" ht="13.5" customHeight="1" x14ac:dyDescent="0.2"/>
    <row r="954" s="51" customFormat="1" ht="13.5" customHeight="1" x14ac:dyDescent="0.2"/>
    <row r="955" s="51" customFormat="1" ht="13.5" customHeight="1" x14ac:dyDescent="0.2"/>
    <row r="956" s="51" customFormat="1" ht="13.5" customHeight="1" x14ac:dyDescent="0.2"/>
    <row r="957" s="51" customFormat="1" ht="13.5" customHeight="1" x14ac:dyDescent="0.2"/>
    <row r="958" s="51" customFormat="1" ht="13.5" customHeight="1" x14ac:dyDescent="0.2"/>
    <row r="959" s="51" customFormat="1" ht="13.5" customHeight="1" x14ac:dyDescent="0.2"/>
    <row r="960" s="51" customFormat="1" ht="13.5" customHeight="1" x14ac:dyDescent="0.2"/>
    <row r="961" s="51" customFormat="1" ht="13.5" customHeight="1" x14ac:dyDescent="0.2"/>
    <row r="962" s="51" customFormat="1" ht="13.5" customHeight="1" x14ac:dyDescent="0.2"/>
    <row r="963" s="51" customFormat="1" ht="13.5" customHeight="1" x14ac:dyDescent="0.2"/>
    <row r="964" s="51" customFormat="1" ht="13.5" customHeight="1" x14ac:dyDescent="0.2"/>
    <row r="965" s="51" customFormat="1" ht="13.5" customHeight="1" x14ac:dyDescent="0.2"/>
    <row r="966" s="51" customFormat="1" ht="13.5" customHeight="1" x14ac:dyDescent="0.2"/>
    <row r="967" s="51" customFormat="1" ht="13.5" customHeight="1" x14ac:dyDescent="0.2"/>
    <row r="968" s="51" customFormat="1" ht="13.5" customHeight="1" x14ac:dyDescent="0.2"/>
    <row r="969" s="51" customFormat="1" ht="13.5" customHeight="1" x14ac:dyDescent="0.2"/>
    <row r="970" s="51" customFormat="1" ht="13.5" customHeight="1" x14ac:dyDescent="0.2"/>
    <row r="971" s="51" customFormat="1" ht="13.5" customHeight="1" x14ac:dyDescent="0.2"/>
    <row r="972" s="51" customFormat="1" ht="13.5" customHeight="1" x14ac:dyDescent="0.2"/>
    <row r="973" s="51" customFormat="1" ht="13.5" customHeight="1" x14ac:dyDescent="0.2"/>
    <row r="974" s="51" customFormat="1" ht="13.5" customHeight="1" x14ac:dyDescent="0.2"/>
    <row r="975" s="51" customFormat="1" ht="13.5" customHeight="1" x14ac:dyDescent="0.2"/>
    <row r="976" s="51" customFormat="1" ht="13.5" customHeight="1" x14ac:dyDescent="0.2"/>
    <row r="977" s="51" customFormat="1" ht="13.5" customHeight="1" x14ac:dyDescent="0.2"/>
    <row r="978" s="51" customFormat="1" ht="13.5" customHeight="1" x14ac:dyDescent="0.2"/>
    <row r="979" s="51" customFormat="1" ht="13.5" customHeight="1" x14ac:dyDescent="0.2"/>
    <row r="980" s="51" customFormat="1" ht="13.5" customHeight="1" x14ac:dyDescent="0.2"/>
    <row r="981" s="51" customFormat="1" ht="13.5" customHeight="1" x14ac:dyDescent="0.2"/>
    <row r="982" s="51" customFormat="1" ht="13.5" customHeight="1" x14ac:dyDescent="0.2"/>
    <row r="983" s="51" customFormat="1" ht="13.5" customHeight="1" x14ac:dyDescent="0.2"/>
    <row r="984" s="51" customFormat="1" ht="13.5" customHeight="1" x14ac:dyDescent="0.2"/>
    <row r="985" s="51" customFormat="1" ht="13.5" customHeight="1" x14ac:dyDescent="0.2"/>
    <row r="986" s="51" customFormat="1" ht="13.5" customHeight="1" x14ac:dyDescent="0.2"/>
    <row r="987" s="51" customFormat="1" ht="13.5" customHeight="1" x14ac:dyDescent="0.2"/>
    <row r="988" s="51" customFormat="1" ht="13.5" customHeight="1" x14ac:dyDescent="0.2"/>
    <row r="989" s="51" customFormat="1" ht="13.5" customHeight="1" x14ac:dyDescent="0.2"/>
    <row r="990" s="51" customFormat="1" ht="13.5" customHeight="1" x14ac:dyDescent="0.2"/>
    <row r="991" s="51" customFormat="1" ht="13.5" customHeight="1" x14ac:dyDescent="0.2"/>
    <row r="992" s="51" customFormat="1" ht="13.5" customHeight="1" x14ac:dyDescent="0.2"/>
    <row r="993" s="51" customFormat="1" ht="13.5" customHeight="1" x14ac:dyDescent="0.2"/>
    <row r="994" s="51" customFormat="1" ht="13.5" customHeight="1" x14ac:dyDescent="0.2"/>
    <row r="995" s="51" customFormat="1" ht="13.5" customHeight="1" x14ac:dyDescent="0.2"/>
    <row r="996" s="51" customFormat="1" ht="13.5" customHeight="1" x14ac:dyDescent="0.2"/>
    <row r="997" s="51" customFormat="1" ht="13.5" customHeight="1" x14ac:dyDescent="0.2"/>
    <row r="998" s="51" customFormat="1" ht="13.5" customHeight="1" x14ac:dyDescent="0.2"/>
    <row r="999" s="51" customFormat="1" ht="13.5" customHeight="1" x14ac:dyDescent="0.2"/>
    <row r="1000" s="51" customFormat="1" ht="13.5" customHeight="1" x14ac:dyDescent="0.2"/>
    <row r="1001" s="51" customFormat="1" ht="13.5" customHeight="1" x14ac:dyDescent="0.2"/>
  </sheetData>
  <mergeCells count="4">
    <mergeCell ref="C3:O4"/>
    <mergeCell ref="E6:I6"/>
    <mergeCell ref="E7:I7"/>
    <mergeCell ref="E8:I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Read Me</vt:lpstr>
      <vt:lpstr>Assumptions</vt:lpstr>
      <vt:lpstr>Outputs &gt;&gt;</vt:lpstr>
      <vt:lpstr>Exec Sum</vt:lpstr>
      <vt:lpstr>Statements &gt;&gt;</vt:lpstr>
      <vt:lpstr>IS</vt:lpstr>
      <vt:lpstr>BS</vt:lpstr>
      <vt:lpstr>CF</vt:lpstr>
      <vt:lpstr>Builds &gt;&gt;</vt:lpstr>
      <vt:lpstr>Revenue</vt:lpstr>
      <vt:lpstr>OpEx</vt:lpstr>
      <vt:lpstr>HC</vt:lpstr>
      <vt:lpstr>WC</vt:lpstr>
      <vt:lpstr>FA &amp; D&amp;A</vt:lpstr>
      <vt:lpstr>Fin, Tax &amp; Equity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