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/>
  </mc:AlternateContent>
  <xr:revisionPtr revIDLastSave="0" documentId="8_{C15784E6-A068-3849-AA9A-1576BE9B99F8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Summary" sheetId="1" r:id="rId1"/>
    <sheet name="Assumptions" sheetId="2" r:id="rId2"/>
    <sheet name="Op Build" sheetId="3" r:id="rId3"/>
    <sheet name="Check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C11" i="4"/>
  <c r="E11" i="4" s="1"/>
  <c r="C41" i="3"/>
  <c r="O41" i="3" s="1"/>
  <c r="N29" i="3"/>
  <c r="M29" i="3"/>
  <c r="L29" i="3"/>
  <c r="K29" i="3"/>
  <c r="J29" i="3"/>
  <c r="I29" i="3"/>
  <c r="H29" i="3"/>
  <c r="G29" i="3"/>
  <c r="F29" i="3"/>
  <c r="E29" i="3"/>
  <c r="D29" i="3"/>
  <c r="C29" i="3"/>
  <c r="N28" i="3"/>
  <c r="O28" i="3" s="1"/>
  <c r="M28" i="3"/>
  <c r="L28" i="3"/>
  <c r="K28" i="3"/>
  <c r="J28" i="3"/>
  <c r="I28" i="3"/>
  <c r="H28" i="3"/>
  <c r="G28" i="3"/>
  <c r="F28" i="3"/>
  <c r="E28" i="3"/>
  <c r="D28" i="3"/>
  <c r="C28" i="3"/>
  <c r="C19" i="3"/>
  <c r="O19" i="3" s="1"/>
  <c r="N11" i="3"/>
  <c r="M11" i="3"/>
  <c r="L11" i="3"/>
  <c r="K11" i="3"/>
  <c r="J11" i="3"/>
  <c r="I11" i="3"/>
  <c r="H11" i="3"/>
  <c r="G11" i="3"/>
  <c r="F11" i="3"/>
  <c r="E11" i="3"/>
  <c r="D11" i="3"/>
  <c r="C11" i="3"/>
  <c r="F10" i="3"/>
  <c r="D10" i="3"/>
  <c r="D13" i="3" s="1"/>
  <c r="C10" i="3"/>
  <c r="N6" i="3"/>
  <c r="N31" i="3" s="1"/>
  <c r="M6" i="3"/>
  <c r="L6" i="3"/>
  <c r="K6" i="3"/>
  <c r="K31" i="3" s="1"/>
  <c r="J6" i="3"/>
  <c r="J21" i="3" s="1"/>
  <c r="I6" i="3"/>
  <c r="H6" i="3"/>
  <c r="H39" i="3" s="1"/>
  <c r="G6" i="3"/>
  <c r="G15" i="3" s="1"/>
  <c r="F6" i="3"/>
  <c r="F36" i="3" s="1"/>
  <c r="E6" i="3"/>
  <c r="E39" i="3" s="1"/>
  <c r="D6" i="3"/>
  <c r="D12" i="3" s="1"/>
  <c r="C6" i="3"/>
  <c r="C31" i="3" s="1"/>
  <c r="F23" i="2"/>
  <c r="F22" i="2"/>
  <c r="F21" i="2"/>
  <c r="F20" i="2"/>
  <c r="F19" i="2"/>
  <c r="F18" i="2"/>
  <c r="F17" i="2"/>
  <c r="K12" i="3" s="1"/>
  <c r="F16" i="2"/>
  <c r="L5" i="1"/>
  <c r="F5" i="1"/>
  <c r="C5" i="1"/>
  <c r="N21" i="3" l="1"/>
  <c r="F30" i="3"/>
  <c r="C13" i="3"/>
  <c r="N36" i="3"/>
  <c r="G10" i="3"/>
  <c r="H18" i="1" s="1"/>
  <c r="H14" i="3"/>
  <c r="C19" i="1" s="1"/>
  <c r="G31" i="3"/>
  <c r="M30" i="3"/>
  <c r="N39" i="3"/>
  <c r="G14" i="3"/>
  <c r="C18" i="1" s="1"/>
  <c r="O29" i="3"/>
  <c r="F13" i="3"/>
  <c r="O11" i="3"/>
  <c r="G13" i="3"/>
  <c r="H15" i="3"/>
  <c r="D19" i="1" s="1"/>
  <c r="G30" i="3"/>
  <c r="D31" i="3"/>
  <c r="F31" i="3"/>
  <c r="F32" i="3" s="1"/>
  <c r="F33" i="3" s="1"/>
  <c r="G36" i="3"/>
  <c r="H36" i="3"/>
  <c r="L21" i="3"/>
  <c r="M12" i="3"/>
  <c r="M31" i="3"/>
  <c r="M32" i="3" s="1"/>
  <c r="M33" i="3" s="1"/>
  <c r="N12" i="3"/>
  <c r="J30" i="3"/>
  <c r="H17" i="1"/>
  <c r="H12" i="3"/>
  <c r="M21" i="3"/>
  <c r="D30" i="3"/>
  <c r="L31" i="3"/>
  <c r="I39" i="3"/>
  <c r="I12" i="3"/>
  <c r="E30" i="3"/>
  <c r="L12" i="3"/>
  <c r="J12" i="3"/>
  <c r="H30" i="3"/>
  <c r="K30" i="3"/>
  <c r="K32" i="3" s="1"/>
  <c r="K33" i="3" s="1"/>
  <c r="N30" i="3"/>
  <c r="N32" i="3" s="1"/>
  <c r="N33" i="3" s="1"/>
  <c r="L30" i="3"/>
  <c r="E31" i="3"/>
  <c r="E10" i="3"/>
  <c r="E13" i="3" s="1"/>
  <c r="E12" i="3"/>
  <c r="K36" i="3"/>
  <c r="H10" i="3"/>
  <c r="H19" i="1" s="1"/>
  <c r="F12" i="3"/>
  <c r="K21" i="3"/>
  <c r="H31" i="3"/>
  <c r="G12" i="3"/>
  <c r="C30" i="3"/>
  <c r="C32" i="3" s="1"/>
  <c r="G37" i="3"/>
  <c r="D18" i="1"/>
  <c r="I36" i="3"/>
  <c r="L39" i="3"/>
  <c r="H15" i="1"/>
  <c r="J36" i="3"/>
  <c r="M39" i="3"/>
  <c r="L36" i="3"/>
  <c r="C21" i="3"/>
  <c r="I30" i="3"/>
  <c r="J31" i="3"/>
  <c r="M36" i="3"/>
  <c r="I31" i="3"/>
  <c r="C20" i="3"/>
  <c r="D21" i="3"/>
  <c r="C39" i="3"/>
  <c r="J39" i="3"/>
  <c r="D20" i="3"/>
  <c r="E21" i="3"/>
  <c r="D39" i="3"/>
  <c r="F21" i="3"/>
  <c r="F20" i="3"/>
  <c r="C36" i="3"/>
  <c r="F39" i="3"/>
  <c r="D15" i="3"/>
  <c r="G21" i="3"/>
  <c r="H14" i="1"/>
  <c r="D14" i="3"/>
  <c r="C15" i="1" s="1"/>
  <c r="E15" i="3"/>
  <c r="G20" i="3"/>
  <c r="H21" i="3"/>
  <c r="D36" i="3"/>
  <c r="G39" i="3"/>
  <c r="K39" i="3"/>
  <c r="C15" i="3"/>
  <c r="C12" i="3"/>
  <c r="E14" i="3"/>
  <c r="C16" i="1" s="1"/>
  <c r="F15" i="3"/>
  <c r="H20" i="3"/>
  <c r="I21" i="3"/>
  <c r="E36" i="3"/>
  <c r="E20" i="3"/>
  <c r="C14" i="3"/>
  <c r="F14" i="3"/>
  <c r="C17" i="1" s="1"/>
  <c r="H16" i="1" l="1"/>
  <c r="L32" i="3"/>
  <c r="L33" i="3" s="1"/>
  <c r="G32" i="3"/>
  <c r="G33" i="3" s="1"/>
  <c r="H13" i="3"/>
  <c r="G38" i="3"/>
  <c r="H37" i="3"/>
  <c r="O31" i="3"/>
  <c r="E32" i="3"/>
  <c r="E33" i="3" s="1"/>
  <c r="I10" i="3"/>
  <c r="I13" i="3" s="1"/>
  <c r="J32" i="3"/>
  <c r="J33" i="3" s="1"/>
  <c r="O12" i="3"/>
  <c r="D32" i="3"/>
  <c r="D33" i="3" s="1"/>
  <c r="H32" i="3"/>
  <c r="H33" i="3" s="1"/>
  <c r="H38" i="3"/>
  <c r="E19" i="1" s="1"/>
  <c r="O30" i="3"/>
  <c r="E37" i="3"/>
  <c r="D16" i="1"/>
  <c r="C33" i="3"/>
  <c r="F37" i="3"/>
  <c r="F38" i="3" s="1"/>
  <c r="D17" i="1"/>
  <c r="G40" i="3"/>
  <c r="E18" i="1"/>
  <c r="O39" i="3"/>
  <c r="C14" i="1"/>
  <c r="I32" i="3"/>
  <c r="I33" i="3" s="1"/>
  <c r="D15" i="1"/>
  <c r="D37" i="3"/>
  <c r="O36" i="3"/>
  <c r="C37" i="3"/>
  <c r="D14" i="1"/>
  <c r="O21" i="3"/>
  <c r="C22" i="3"/>
  <c r="H40" i="3" l="1"/>
  <c r="H20" i="1"/>
  <c r="J10" i="3"/>
  <c r="H21" i="1" s="1"/>
  <c r="D38" i="3"/>
  <c r="O32" i="3"/>
  <c r="E38" i="3"/>
  <c r="D40" i="3"/>
  <c r="E15" i="1"/>
  <c r="E40" i="3"/>
  <c r="E16" i="1"/>
  <c r="E17" i="1"/>
  <c r="F40" i="3"/>
  <c r="I14" i="3"/>
  <c r="O33" i="3"/>
  <c r="C9" i="4"/>
  <c r="E9" i="4" s="1"/>
  <c r="C38" i="3"/>
  <c r="C23" i="3"/>
  <c r="K10" i="3" l="1"/>
  <c r="J13" i="3"/>
  <c r="J14" i="3" s="1"/>
  <c r="D19" i="3"/>
  <c r="G14" i="1"/>
  <c r="C24" i="3"/>
  <c r="C20" i="1"/>
  <c r="I15" i="3"/>
  <c r="I20" i="3"/>
  <c r="C21" i="1"/>
  <c r="J15" i="3"/>
  <c r="J20" i="3"/>
  <c r="E14" i="1"/>
  <c r="C40" i="3"/>
  <c r="L10" i="3"/>
  <c r="K13" i="3"/>
  <c r="H22" i="1"/>
  <c r="M10" i="3" l="1"/>
  <c r="H23" i="1"/>
  <c r="L13" i="3"/>
  <c r="L14" i="3" s="1"/>
  <c r="C42" i="3"/>
  <c r="D21" i="1"/>
  <c r="J37" i="3"/>
  <c r="J38" i="3" s="1"/>
  <c r="D20" i="1"/>
  <c r="I37" i="3"/>
  <c r="K14" i="3"/>
  <c r="D22" i="3"/>
  <c r="K20" i="3" l="1"/>
  <c r="C22" i="1"/>
  <c r="K15" i="3"/>
  <c r="I38" i="3"/>
  <c r="C23" i="1"/>
  <c r="L15" i="3"/>
  <c r="L20" i="3"/>
  <c r="J40" i="3"/>
  <c r="E21" i="1"/>
  <c r="F14" i="1"/>
  <c r="D41" i="3"/>
  <c r="D42" i="3" s="1"/>
  <c r="C44" i="3"/>
  <c r="H24" i="1"/>
  <c r="M13" i="3"/>
  <c r="M14" i="3" s="1"/>
  <c r="N10" i="3"/>
  <c r="D23" i="3"/>
  <c r="E41" i="3" l="1"/>
  <c r="E42" i="3" s="1"/>
  <c r="F15" i="1"/>
  <c r="D44" i="3"/>
  <c r="D23" i="1"/>
  <c r="L37" i="3"/>
  <c r="L38" i="3" s="1"/>
  <c r="E19" i="3"/>
  <c r="G15" i="1"/>
  <c r="O10" i="3"/>
  <c r="N13" i="3"/>
  <c r="H25" i="1"/>
  <c r="C24" i="1"/>
  <c r="M15" i="3"/>
  <c r="M20" i="3"/>
  <c r="D22" i="1"/>
  <c r="K37" i="3"/>
  <c r="E20" i="1"/>
  <c r="I40" i="3"/>
  <c r="L40" i="3" l="1"/>
  <c r="E23" i="1"/>
  <c r="D24" i="1"/>
  <c r="M37" i="3"/>
  <c r="M38" i="3" s="1"/>
  <c r="N14" i="3"/>
  <c r="O13" i="3"/>
  <c r="E22" i="3"/>
  <c r="E23" i="3"/>
  <c r="K38" i="3"/>
  <c r="F41" i="3"/>
  <c r="F42" i="3" s="1"/>
  <c r="F16" i="1"/>
  <c r="E44" i="3"/>
  <c r="G16" i="1" l="1"/>
  <c r="F19" i="3"/>
  <c r="E24" i="3"/>
  <c r="N20" i="3"/>
  <c r="O20" i="3" s="1"/>
  <c r="N15" i="3"/>
  <c r="C25" i="1"/>
  <c r="O14" i="3"/>
  <c r="B8" i="1" s="1"/>
  <c r="F17" i="1"/>
  <c r="G41" i="3"/>
  <c r="G42" i="3" s="1"/>
  <c r="F44" i="3"/>
  <c r="K40" i="3"/>
  <c r="E22" i="1"/>
  <c r="E24" i="1"/>
  <c r="M40" i="3"/>
  <c r="H41" i="3" l="1"/>
  <c r="H42" i="3" s="1"/>
  <c r="F18" i="1"/>
  <c r="G44" i="3"/>
  <c r="F22" i="3"/>
  <c r="F23" i="3" s="1"/>
  <c r="N37" i="3"/>
  <c r="D25" i="1"/>
  <c r="O15" i="3"/>
  <c r="E8" i="1" s="1"/>
  <c r="N38" i="3" l="1"/>
  <c r="O37" i="3"/>
  <c r="G19" i="3"/>
  <c r="F24" i="3"/>
  <c r="G17" i="1"/>
  <c r="I41" i="3"/>
  <c r="I42" i="3" s="1"/>
  <c r="F19" i="1"/>
  <c r="H44" i="3"/>
  <c r="J41" i="3" l="1"/>
  <c r="J42" i="3" s="1"/>
  <c r="I44" i="3"/>
  <c r="F20" i="1"/>
  <c r="G22" i="3"/>
  <c r="G23" i="3" s="1"/>
  <c r="E25" i="1"/>
  <c r="N40" i="3"/>
  <c r="O38" i="3"/>
  <c r="H8" i="1" s="1"/>
  <c r="H19" i="3" l="1"/>
  <c r="G24" i="3"/>
  <c r="G18" i="1"/>
  <c r="D43" i="3"/>
  <c r="I43" i="3"/>
  <c r="G43" i="3"/>
  <c r="C43" i="3"/>
  <c r="O40" i="3"/>
  <c r="F43" i="3"/>
  <c r="H43" i="3"/>
  <c r="E43" i="3"/>
  <c r="J43" i="3"/>
  <c r="K41" i="3"/>
  <c r="K42" i="3" s="1"/>
  <c r="K43" i="3" s="1"/>
  <c r="F21" i="1"/>
  <c r="J44" i="3"/>
  <c r="K44" i="3" l="1"/>
  <c r="F22" i="1"/>
  <c r="L41" i="3"/>
  <c r="L42" i="3" s="1"/>
  <c r="H22" i="3"/>
  <c r="H23" i="3" s="1"/>
  <c r="G19" i="1" l="1"/>
  <c r="H24" i="3"/>
  <c r="I19" i="3"/>
  <c r="L44" i="3"/>
  <c r="F23" i="1"/>
  <c r="M41" i="3"/>
  <c r="M42" i="3" s="1"/>
  <c r="L43" i="3"/>
  <c r="F24" i="1" l="1"/>
  <c r="M44" i="3"/>
  <c r="N41" i="3"/>
  <c r="N42" i="3" s="1"/>
  <c r="M43" i="3"/>
  <c r="I22" i="3"/>
  <c r="I23" i="3"/>
  <c r="N44" i="3" l="1"/>
  <c r="C12" i="4"/>
  <c r="E12" i="4" s="1"/>
  <c r="F25" i="1"/>
  <c r="O42" i="3"/>
  <c r="K8" i="1" s="1"/>
  <c r="N43" i="3"/>
  <c r="G20" i="1"/>
  <c r="I24" i="3"/>
  <c r="J19" i="3"/>
  <c r="J22" i="3" l="1"/>
  <c r="J23" i="3" s="1"/>
  <c r="C13" i="4"/>
  <c r="E13" i="4" s="1"/>
  <c r="O43" i="3"/>
  <c r="N8" i="1" s="1"/>
  <c r="O44" i="3"/>
  <c r="C10" i="4"/>
  <c r="E10" i="4" s="1"/>
  <c r="J24" i="3" l="1"/>
  <c r="G21" i="1"/>
  <c r="K19" i="3"/>
  <c r="K22" i="3" l="1"/>
  <c r="K23" i="3" s="1"/>
  <c r="G22" i="1" l="1"/>
  <c r="K24" i="3"/>
  <c r="L19" i="3"/>
  <c r="L22" i="3" l="1"/>
  <c r="L23" i="3" s="1"/>
  <c r="L24" i="3" l="1"/>
  <c r="G23" i="1"/>
  <c r="M19" i="3"/>
  <c r="M22" i="3" l="1"/>
  <c r="M23" i="3"/>
  <c r="M24" i="3" l="1"/>
  <c r="N19" i="3"/>
  <c r="G24" i="1"/>
  <c r="N22" i="3" l="1"/>
  <c r="O22" i="3" s="1"/>
  <c r="N23" i="3"/>
  <c r="G25" i="1" l="1"/>
  <c r="O23" i="3"/>
  <c r="N24" i="3"/>
  <c r="O24" i="3" l="1"/>
  <c r="C8" i="4"/>
  <c r="E8" i="4" s="1"/>
  <c r="C5" i="4" s="1"/>
  <c r="I5" i="1" s="1"/>
</calcChain>
</file>

<file path=xl/sharedStrings.xml><?xml version="1.0" encoding="utf-8"?>
<sst xmlns="http://schemas.openxmlformats.org/spreadsheetml/2006/main" count="141" uniqueCount="120">
  <si>
    <t>Financial Budget and Forecast</t>
  </si>
  <si>
    <t>Summary</t>
  </si>
  <si>
    <t>Selected Scenario</t>
  </si>
  <si>
    <t>Actuals Through</t>
  </si>
  <si>
    <t>Model Status</t>
  </si>
  <si>
    <t>Currency / Units</t>
  </si>
  <si>
    <t>FY BOOKINGS</t>
  </si>
  <si>
    <t>FY RECOGNIZED REVENUE</t>
  </si>
  <si>
    <t>FY EBITDA</t>
  </si>
  <si>
    <t>ENDING CASH</t>
  </si>
  <si>
    <t>EXIT RUNWAY</t>
  </si>
  <si>
    <t>Monthly Outlook</t>
  </si>
  <si>
    <t>Month</t>
  </si>
  <si>
    <t>Bookings</t>
  </si>
  <si>
    <t>Recognized Revenue</t>
  </si>
  <si>
    <t>EBITDA</t>
  </si>
  <si>
    <t>Ending Cash</t>
  </si>
  <si>
    <t>Ending Customers</t>
  </si>
  <si>
    <t>Sales Reps</t>
  </si>
  <si>
    <t>Jan-27</t>
  </si>
  <si>
    <t>Feb-27</t>
  </si>
  <si>
    <t>Mar-27</t>
  </si>
  <si>
    <t>Apr-27</t>
  </si>
  <si>
    <t>May-27</t>
  </si>
  <si>
    <t>Jun-27</t>
  </si>
  <si>
    <t>Jul-27</t>
  </si>
  <si>
    <t>Aug-27</t>
  </si>
  <si>
    <t>Sep-27</t>
  </si>
  <si>
    <t>Oct-27</t>
  </si>
  <si>
    <t>Nov-27</t>
  </si>
  <si>
    <t>Dec-27</t>
  </si>
  <si>
    <t>Assumptions</t>
  </si>
  <si>
    <t>Base</t>
  </si>
  <si>
    <t>USD ($000)</t>
  </si>
  <si>
    <t>Opening Sales Reps</t>
  </si>
  <si>
    <t>Opening Customers</t>
  </si>
  <si>
    <t>Opening Cash</t>
  </si>
  <si>
    <t>Average Booking / New Customer</t>
  </si>
  <si>
    <t>Monthly Non-Sales HC Growth</t>
  </si>
  <si>
    <t>Monthly Loaded Cost Growth</t>
  </si>
  <si>
    <t>Scenario Driver Matrix</t>
  </si>
  <si>
    <t>Driver</t>
  </si>
  <si>
    <t>Growth</t>
  </si>
  <si>
    <t>Downside</t>
  </si>
  <si>
    <t>Selected</t>
  </si>
  <si>
    <t>Application</t>
  </si>
  <si>
    <t>Monthly Sales Rep Growth</t>
  </si>
  <si>
    <t>Forecast sales capacity</t>
  </si>
  <si>
    <t>Quota Attainment</t>
  </si>
  <si>
    <t>Forecast bookings</t>
  </si>
  <si>
    <t>Revenue Recognition / Bookings</t>
  </si>
  <si>
    <t>Forecast recognized revenue</t>
  </si>
  <si>
    <t>Monthly Churn</t>
  </si>
  <si>
    <t>Forecast customer roll-forward</t>
  </si>
  <si>
    <t>Payroll Factor</t>
  </si>
  <si>
    <t>Forecast payroll</t>
  </si>
  <si>
    <t>Non-HC OpEx Factor</t>
  </si>
  <si>
    <t>Forecast non-headcount spend</t>
  </si>
  <si>
    <t>Capex Factor</t>
  </si>
  <si>
    <t>Forecast capital investment</t>
  </si>
  <si>
    <t>Gross Margin</t>
  </si>
  <si>
    <t>Forecast gross profit</t>
  </si>
  <si>
    <t>Model convention</t>
  </si>
  <si>
    <t>Monthly FY2027; Jan-Jun actuals; Jul-Dec forecast; USD in thousands.</t>
  </si>
  <si>
    <t>Operating Build</t>
  </si>
  <si>
    <t>FY2027</t>
  </si>
  <si>
    <t>Period Status</t>
  </si>
  <si>
    <t>Sales Capacity, Bookings, and Recognized Revenue</t>
  </si>
  <si>
    <t>Monthly Quota / Rep</t>
  </si>
  <si>
    <t>Sales Capacity</t>
  </si>
  <si>
    <t>Customer Roll-Forward</t>
  </si>
  <si>
    <t>Beginning Customers</t>
  </si>
  <si>
    <t>New Customers</t>
  </si>
  <si>
    <t>Churned Customers</t>
  </si>
  <si>
    <t>Payroll and Non-Headcount Operating Expense</t>
  </si>
  <si>
    <t>Total Headcount</t>
  </si>
  <si>
    <t>Loaded Monthly Cost / HC</t>
  </si>
  <si>
    <t>Payroll</t>
  </si>
  <si>
    <t>Non-HC OpEx</t>
  </si>
  <si>
    <t>Total Operating Expense</t>
  </si>
  <si>
    <t>EBITDA, Capex, Burn, Cash, and Runway</t>
  </si>
  <si>
    <t>Gross Profit</t>
  </si>
  <si>
    <t>Capex</t>
  </si>
  <si>
    <t>Net Cash Change</t>
  </si>
  <si>
    <t>Beginning Cash</t>
  </si>
  <si>
    <t>Runway</t>
  </si>
  <si>
    <t>Actual and Baseline Source Inputs</t>
  </si>
  <si>
    <t>Sales Reps (actual / baseline)</t>
  </si>
  <si>
    <t>Actual Quota Attainment</t>
  </si>
  <si>
    <t>Actual Bookings</t>
  </si>
  <si>
    <t>Actual Recognized Revenue</t>
  </si>
  <si>
    <t>Actual New Customers</t>
  </si>
  <si>
    <t>Actual Monthly Churn</t>
  </si>
  <si>
    <t>Total Headcount (actual / baseline)</t>
  </si>
  <si>
    <t>Actual Payroll</t>
  </si>
  <si>
    <t>Non-HC OpEx (actual / baseline)</t>
  </si>
  <si>
    <t>Capex (actual / baseline)</t>
  </si>
  <si>
    <t>Actual Gross Margin</t>
  </si>
  <si>
    <t>MODEL STATUS</t>
  </si>
  <si>
    <t>Check</t>
  </si>
  <si>
    <t>Actual / Delta</t>
  </si>
  <si>
    <t>Threshold</t>
  </si>
  <si>
    <t>Status</t>
  </si>
  <si>
    <t>Where to Fix</t>
  </si>
  <si>
    <t>Customer roll-forward</t>
  </si>
  <si>
    <t>Op Build rows 19:24</t>
  </si>
  <si>
    <t>Expense composition</t>
  </si>
  <si>
    <t>Op Build rows 28:33</t>
  </si>
  <si>
    <t>Cash roll-forward</t>
  </si>
  <si>
    <t>Op Build rows 40:44</t>
  </si>
  <si>
    <t>Actual-source completeness</t>
  </si>
  <si>
    <t>Op Build B50:G59</t>
  </si>
  <si>
    <t>Ending cash above zero</t>
  </si>
  <si>
    <t>Opening cash or operating drivers</t>
  </si>
  <si>
    <t>Exit runway</t>
  </si>
  <si>
    <t>Burn, capex, or opening cash</t>
  </si>
  <si>
    <t>Interpretation</t>
  </si>
  <si>
    <t>PASS means the named local arithmetic and completeness checks pass. It does not imply source currentness, approval, upload readiness, or publication.</t>
  </si>
  <si>
    <t>Checks</t>
  </si>
  <si>
    <t>[Check]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</si>
</sst>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\ d\,\ yyyy"/>
    <numFmt numFmtId="165" formatCode="\$#,##0;[Red]\(\$#,##0\);\-"/>
    <numFmt numFmtId="166" formatCode="0.0\ &quot;mos&quot;"/>
    <numFmt numFmtId="167" formatCode="#,##0;[Red]\(#,##0\);\-"/>
    <numFmt numFmtId="168" formatCode="0.0%;[Red]\(0.0%\);\-"/>
    <numFmt numFmtId="169" formatCode="0.0\x"/>
    <numFmt numFmtId="170" formatCode="#,##0.0;[Red]\(#,##0.0\);\-"/>
  </numFmts>
  <fonts count="19" x14ac:knownFonts="1">
    <font>
      <sz val="11"/>
      <color rgb="FF000000"/>
      <name val="Aptos Narrow"/>
      <scheme val="minor"/>
    </font>
    <font>
      <b/>
      <sz val="14"/>
      <color rgb="FFFFFFFF"/>
      <name val="Arial"/>
      <family val="2"/>
    </font>
    <font>
      <sz val="11"/>
      <name val="Aptos Narrow"/>
    </font>
    <font>
      <b/>
      <sz val="10"/>
      <color rgb="FFD9E2EA"/>
      <name val="Arial"/>
      <family val="2"/>
    </font>
    <font>
      <sz val="11"/>
      <color theme="1"/>
      <name val="Arial"/>
      <family val="2"/>
    </font>
    <font>
      <b/>
      <sz val="9"/>
      <color rgb="FF17212B"/>
      <name val="Arial"/>
      <family val="2"/>
    </font>
    <font>
      <b/>
      <sz val="9"/>
      <color rgb="FF5B6570"/>
      <name val="Arial"/>
      <family val="2"/>
    </font>
    <font>
      <b/>
      <sz val="16"/>
      <color rgb="FF17212B"/>
      <name val="Arial"/>
      <family val="2"/>
    </font>
    <font>
      <b/>
      <sz val="16"/>
      <color rgb="FF174A7E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7212B"/>
      <name val="Arial"/>
      <family val="2"/>
    </font>
    <font>
      <sz val="9"/>
      <color rgb="FF0000FF"/>
      <name val="Arial"/>
      <family val="2"/>
    </font>
    <font>
      <sz val="9"/>
      <color rgb="FF000000"/>
      <name val="Arial"/>
      <family val="2"/>
    </font>
    <font>
      <b/>
      <sz val="9"/>
      <color rgb="FF008000"/>
      <name val="Arial"/>
      <family val="2"/>
    </font>
    <font>
      <sz val="9"/>
      <color rgb="FF008000"/>
      <name val="Arial"/>
      <family val="2"/>
    </font>
    <font>
      <b/>
      <sz val="9"/>
      <color rgb="FF000000"/>
      <name val="Arial"/>
      <family val="2"/>
    </font>
    <font>
      <i/>
      <sz val="10"/>
      <color rgb="FFD9E2EA"/>
      <name val="Arial"/>
      <family val="2"/>
    </font>
    <font>
      <i/>
      <sz val="9"/>
      <color theme="0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7324D"/>
        <bgColor rgb="FF17324D"/>
      </patternFill>
    </fill>
    <fill>
      <patternFill patternType="solid">
        <fgColor rgb="FFEEF3F7"/>
        <bgColor rgb="FFEEF3F7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CE4EC"/>
        <bgColor rgb="FFDCE4EC"/>
      </patternFill>
    </fill>
    <fill>
      <patternFill patternType="solid">
        <fgColor rgb="FF25313C"/>
        <bgColor rgb="FF25313C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9E0E6"/>
      </left>
      <right/>
      <top style="thin">
        <color rgb="FFD9E0E6"/>
      </top>
      <bottom style="thin">
        <color rgb="FFD9E0E6"/>
      </bottom>
      <diagonal/>
    </border>
    <border>
      <left/>
      <right/>
      <top style="thin">
        <color rgb="FFD9E0E6"/>
      </top>
      <bottom style="thin">
        <color rgb="FFD9E0E6"/>
      </bottom>
      <diagonal/>
    </border>
    <border>
      <left/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9E0E6"/>
      </left>
      <right/>
      <top style="thin">
        <color rgb="FFD9E0E6"/>
      </top>
      <bottom/>
      <diagonal/>
    </border>
    <border>
      <left/>
      <right/>
      <top style="thin">
        <color rgb="FFD9E0E6"/>
      </top>
      <bottom/>
      <diagonal/>
    </border>
    <border>
      <left/>
      <right style="thin">
        <color rgb="FFD9E0E6"/>
      </right>
      <top style="thin">
        <color rgb="FFD9E0E6"/>
      </top>
      <bottom/>
      <diagonal/>
    </border>
    <border>
      <left style="thin">
        <color rgb="FFD9E0E6"/>
      </left>
      <right/>
      <top/>
      <bottom style="thin">
        <color rgb="FFD9E0E6"/>
      </bottom>
      <diagonal/>
    </border>
    <border>
      <left/>
      <right/>
      <top/>
      <bottom style="thin">
        <color rgb="FFD9E0E6"/>
      </bottom>
      <diagonal/>
    </border>
    <border>
      <left/>
      <right style="thin">
        <color rgb="FFD9E0E6"/>
      </right>
      <top/>
      <bottom style="thin">
        <color rgb="FFD9E0E6"/>
      </bottom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9E0E6"/>
      </left>
      <right style="thin">
        <color rgb="FFD9E0E6"/>
      </right>
      <top style="thin">
        <color rgb="FF25313C"/>
      </top>
      <bottom style="double">
        <color rgb="FF25313C"/>
      </bottom>
      <diagonal/>
    </border>
    <border>
      <left style="thin">
        <color rgb="FFD6C26E"/>
      </left>
      <right style="thin">
        <color rgb="FFD6C26E"/>
      </right>
      <top style="thin">
        <color rgb="FFD6C26E"/>
      </top>
      <bottom style="thin">
        <color rgb="FFD6C26E"/>
      </bottom>
      <diagonal/>
    </border>
    <border>
      <left style="thin">
        <color rgb="FFD9E0E6"/>
      </left>
      <right style="thin">
        <color rgb="FFD9E0E6"/>
      </right>
      <top style="thin">
        <color rgb="FF25313C"/>
      </top>
      <bottom style="thin">
        <color rgb="FFD9E0E6"/>
      </bottom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double">
        <color rgb="FF25313C"/>
      </bottom>
      <diagonal/>
    </border>
    <border>
      <left style="thin">
        <color rgb="FFD9E0E6"/>
      </left>
      <right style="thin">
        <color rgb="FFD9E0E6"/>
      </right>
      <top/>
      <bottom style="thin">
        <color rgb="FFD9E0E6"/>
      </bottom>
      <diagonal/>
    </border>
    <border>
      <left style="thin">
        <color rgb="FFD6C26E"/>
      </left>
      <right style="thin">
        <color rgb="FFD6C26E"/>
      </right>
      <top/>
      <bottom style="thin">
        <color rgb="FFD6C26E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E0E6"/>
      </left>
      <right style="thin">
        <color rgb="FFD9E0E6"/>
      </right>
      <top style="thin">
        <color rgb="FFD9E0E6"/>
      </top>
      <bottom/>
      <diagonal/>
    </border>
    <border>
      <left style="thin">
        <color rgb="FFD9E0E6"/>
      </left>
      <right style="thin">
        <color rgb="FFD9E0E6"/>
      </right>
      <top style="thin">
        <color rgb="FF25313C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/>
    <xf numFmtId="0" fontId="5" fillId="3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center"/>
    </xf>
    <xf numFmtId="165" fontId="11" fillId="4" borderId="14" xfId="0" applyNumberFormat="1" applyFont="1" applyFill="1" applyBorder="1" applyAlignment="1">
      <alignment horizontal="right" vertical="center"/>
    </xf>
    <xf numFmtId="167" fontId="11" fillId="4" borderId="14" xfId="0" applyNumberFormat="1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left" vertical="center"/>
    </xf>
    <xf numFmtId="165" fontId="5" fillId="4" borderId="15" xfId="0" applyNumberFormat="1" applyFont="1" applyFill="1" applyBorder="1" applyAlignment="1">
      <alignment horizontal="right" vertical="center"/>
    </xf>
    <xf numFmtId="167" fontId="5" fillId="4" borderId="15" xfId="0" applyNumberFormat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right"/>
    </xf>
    <xf numFmtId="164" fontId="12" fillId="5" borderId="16" xfId="0" applyNumberFormat="1" applyFont="1" applyFill="1" applyBorder="1" applyAlignment="1">
      <alignment horizontal="right"/>
    </xf>
    <xf numFmtId="167" fontId="12" fillId="5" borderId="16" xfId="0" applyNumberFormat="1" applyFont="1" applyFill="1" applyBorder="1" applyAlignment="1">
      <alignment horizontal="right"/>
    </xf>
    <xf numFmtId="165" fontId="12" fillId="5" borderId="16" xfId="0" applyNumberFormat="1" applyFont="1" applyFill="1" applyBorder="1" applyAlignment="1">
      <alignment horizontal="right"/>
    </xf>
    <xf numFmtId="168" fontId="12" fillId="5" borderId="16" xfId="0" applyNumberFormat="1" applyFont="1" applyFill="1" applyBorder="1" applyAlignment="1">
      <alignment horizontal="right"/>
    </xf>
    <xf numFmtId="0" fontId="11" fillId="4" borderId="14" xfId="0" applyFont="1" applyFill="1" applyBorder="1" applyAlignment="1">
      <alignment horizontal="left" vertical="center" wrapText="1"/>
    </xf>
    <xf numFmtId="168" fontId="12" fillId="5" borderId="16" xfId="0" applyNumberFormat="1" applyFont="1" applyFill="1" applyBorder="1" applyAlignment="1">
      <alignment horizontal="right" vertical="center" wrapText="1"/>
    </xf>
    <xf numFmtId="168" fontId="13" fillId="4" borderId="14" xfId="0" applyNumberFormat="1" applyFont="1" applyFill="1" applyBorder="1" applyAlignment="1">
      <alignment horizontal="right" vertical="center" wrapText="1"/>
    </xf>
    <xf numFmtId="169" fontId="12" fillId="5" borderId="16" xfId="0" applyNumberFormat="1" applyFont="1" applyFill="1" applyBorder="1" applyAlignment="1">
      <alignment horizontal="right" vertical="center" wrapText="1"/>
    </xf>
    <xf numFmtId="169" fontId="13" fillId="4" borderId="14" xfId="0" applyNumberFormat="1" applyFont="1" applyFill="1" applyBorder="1" applyAlignment="1">
      <alignment horizontal="righ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center" vertical="center" wrapText="1"/>
    </xf>
    <xf numFmtId="17" fontId="5" fillId="6" borderId="14" xfId="0" applyNumberFormat="1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7" fontId="13" fillId="4" borderId="14" xfId="0" applyNumberFormat="1" applyFont="1" applyFill="1" applyBorder="1" applyAlignment="1">
      <alignment horizontal="right" vertical="center"/>
    </xf>
    <xf numFmtId="167" fontId="15" fillId="4" borderId="14" xfId="0" applyNumberFormat="1" applyFont="1" applyFill="1" applyBorder="1" applyAlignment="1">
      <alignment horizontal="right" vertical="center"/>
    </xf>
    <xf numFmtId="165" fontId="13" fillId="4" borderId="14" xfId="0" applyNumberFormat="1" applyFont="1" applyFill="1" applyBorder="1" applyAlignment="1">
      <alignment horizontal="right" vertical="center"/>
    </xf>
    <xf numFmtId="168" fontId="15" fillId="4" borderId="14" xfId="0" applyNumberFormat="1" applyFont="1" applyFill="1" applyBorder="1" applyAlignment="1">
      <alignment horizontal="right" vertical="center"/>
    </xf>
    <xf numFmtId="168" fontId="13" fillId="4" borderId="14" xfId="0" applyNumberFormat="1" applyFont="1" applyFill="1" applyBorder="1" applyAlignment="1">
      <alignment horizontal="right" vertical="center"/>
    </xf>
    <xf numFmtId="165" fontId="5" fillId="4" borderId="17" xfId="0" applyNumberFormat="1" applyFont="1" applyFill="1" applyBorder="1" applyAlignment="1">
      <alignment horizontal="left" vertical="center"/>
    </xf>
    <xf numFmtId="165" fontId="16" fillId="4" borderId="17" xfId="0" applyNumberFormat="1" applyFont="1" applyFill="1" applyBorder="1" applyAlignment="1">
      <alignment horizontal="right" vertical="center"/>
    </xf>
    <xf numFmtId="165" fontId="5" fillId="4" borderId="18" xfId="0" applyNumberFormat="1" applyFont="1" applyFill="1" applyBorder="1" applyAlignment="1">
      <alignment horizontal="left" vertical="center"/>
    </xf>
    <xf numFmtId="165" fontId="14" fillId="4" borderId="18" xfId="0" applyNumberFormat="1" applyFont="1" applyFill="1" applyBorder="1" applyAlignment="1">
      <alignment horizontal="right" vertical="center"/>
    </xf>
    <xf numFmtId="165" fontId="16" fillId="4" borderId="18" xfId="0" applyNumberFormat="1" applyFont="1" applyFill="1" applyBorder="1" applyAlignment="1">
      <alignment horizontal="right" vertical="center"/>
    </xf>
    <xf numFmtId="0" fontId="11" fillId="4" borderId="14" xfId="0" applyFont="1" applyFill="1" applyBorder="1" applyAlignment="1">
      <alignment horizontal="right" vertical="center"/>
    </xf>
    <xf numFmtId="170" fontId="13" fillId="4" borderId="14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left" vertical="center"/>
    </xf>
    <xf numFmtId="165" fontId="15" fillId="4" borderId="14" xfId="0" applyNumberFormat="1" applyFont="1" applyFill="1" applyBorder="1" applyAlignment="1">
      <alignment horizontal="right" vertical="center"/>
    </xf>
    <xf numFmtId="0" fontId="5" fillId="4" borderId="14" xfId="0" applyFont="1" applyFill="1" applyBorder="1" applyAlignment="1">
      <alignment horizontal="left" vertical="center"/>
    </xf>
    <xf numFmtId="166" fontId="16" fillId="4" borderId="14" xfId="0" applyNumberFormat="1" applyFont="1" applyFill="1" applyBorder="1" applyAlignment="1">
      <alignment horizontal="right" vertical="center"/>
    </xf>
    <xf numFmtId="167" fontId="12" fillId="5" borderId="16" xfId="0" applyNumberFormat="1" applyFont="1" applyFill="1" applyBorder="1" applyAlignment="1">
      <alignment horizontal="right" vertical="center"/>
    </xf>
    <xf numFmtId="165" fontId="12" fillId="5" borderId="16" xfId="0" applyNumberFormat="1" applyFont="1" applyFill="1" applyBorder="1" applyAlignment="1">
      <alignment horizontal="right" vertical="center"/>
    </xf>
    <xf numFmtId="168" fontId="12" fillId="5" borderId="16" xfId="0" applyNumberFormat="1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1" fillId="4" borderId="19" xfId="0" applyFont="1" applyFill="1" applyBorder="1" applyAlignment="1">
      <alignment horizontal="left" vertical="center" wrapText="1"/>
    </xf>
    <xf numFmtId="168" fontId="12" fillId="5" borderId="20" xfId="0" applyNumberFormat="1" applyFont="1" applyFill="1" applyBorder="1" applyAlignment="1">
      <alignment horizontal="right" vertical="center" wrapText="1"/>
    </xf>
    <xf numFmtId="168" fontId="13" fillId="4" borderId="19" xfId="0" applyNumberFormat="1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12" fillId="5" borderId="20" xfId="0" applyFont="1" applyFill="1" applyBorder="1" applyAlignment="1">
      <alignment horizontal="right"/>
    </xf>
    <xf numFmtId="0" fontId="4" fillId="0" borderId="4" xfId="0" applyFont="1" applyBorder="1"/>
    <xf numFmtId="0" fontId="0" fillId="0" borderId="4" xfId="0" applyBorder="1"/>
    <xf numFmtId="0" fontId="1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170" fontId="11" fillId="4" borderId="14" xfId="0" applyNumberFormat="1" applyFont="1" applyFill="1" applyBorder="1" applyAlignment="1">
      <alignment horizontal="right" vertical="center" wrapText="1"/>
    </xf>
    <xf numFmtId="165" fontId="11" fillId="4" borderId="14" xfId="0" applyNumberFormat="1" applyFont="1" applyFill="1" applyBorder="1" applyAlignment="1">
      <alignment horizontal="right" vertical="center" wrapText="1"/>
    </xf>
    <xf numFmtId="166" fontId="11" fillId="4" borderId="14" xfId="0" applyNumberFormat="1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left" vertical="center"/>
    </xf>
    <xf numFmtId="170" fontId="16" fillId="4" borderId="25" xfId="0" applyNumberFormat="1" applyFont="1" applyFill="1" applyBorder="1" applyAlignment="1">
      <alignment horizontal="right" vertical="center"/>
    </xf>
    <xf numFmtId="0" fontId="11" fillId="4" borderId="19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right" vertical="center"/>
    </xf>
    <xf numFmtId="0" fontId="18" fillId="4" borderId="14" xfId="0" applyFont="1" applyFill="1" applyBorder="1" applyAlignment="1">
      <alignment horizontal="left" vertical="center"/>
    </xf>
    <xf numFmtId="167" fontId="18" fillId="4" borderId="14" xfId="0" applyNumberFormat="1" applyFont="1" applyFill="1" applyBorder="1" applyAlignment="1">
      <alignment horizontal="right" vertical="center"/>
    </xf>
    <xf numFmtId="166" fontId="7" fillId="4" borderId="8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165" fontId="7" fillId="4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2" xfId="0" applyFont="1" applyBorder="1"/>
    <xf numFmtId="165" fontId="8" fillId="4" borderId="8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4F5B66"/>
      </font>
      <fill>
        <patternFill patternType="solid">
          <fgColor rgb="FFE7EBEF"/>
          <bgColor rgb="FFE7EBEF"/>
        </patternFill>
      </fill>
    </dxf>
    <dxf>
      <font>
        <b/>
        <color rgb="FF174A7E"/>
      </font>
      <fill>
        <patternFill patternType="solid">
          <fgColor rgb="FFDCEAF7"/>
          <bgColor rgb="FFDCEAF7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Bookings vs. Recognized Revenue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Bookings</c:v>
          </c:tx>
          <c:spPr>
            <a:ln cmpd="sng">
              <a:solidFill>
                <a:srgbClr val="156082"/>
              </a:solidFill>
            </a:ln>
          </c:spPr>
          <c:marker>
            <c:symbol val="none"/>
          </c:marker>
          <c:cat>
            <c:strRef>
              <c:f>Summary!$B$14:$B$25</c:f>
              <c:strCache>
                <c:ptCount val="12"/>
                <c:pt idx="0">
                  <c:v>Jan-27</c:v>
                </c:pt>
                <c:pt idx="1">
                  <c:v>Feb-27</c:v>
                </c:pt>
                <c:pt idx="2">
                  <c:v>Mar-27</c:v>
                </c:pt>
                <c:pt idx="3">
                  <c:v>Apr-27</c:v>
                </c:pt>
                <c:pt idx="4">
                  <c:v>May-27</c:v>
                </c:pt>
                <c:pt idx="5">
                  <c:v>Jun-27</c:v>
                </c:pt>
                <c:pt idx="6">
                  <c:v>Jul-27</c:v>
                </c:pt>
                <c:pt idx="7">
                  <c:v>Aug-27</c:v>
                </c:pt>
                <c:pt idx="8">
                  <c:v>Sep-27</c:v>
                </c:pt>
                <c:pt idx="9">
                  <c:v>Oct-27</c:v>
                </c:pt>
                <c:pt idx="10">
                  <c:v>Nov-27</c:v>
                </c:pt>
                <c:pt idx="11">
                  <c:v>Dec-27</c:v>
                </c:pt>
              </c:strCache>
            </c:strRef>
          </c:cat>
          <c:val>
            <c:numRef>
              <c:f>Summary!$C$14:$C$25</c:f>
              <c:numCache>
                <c:formatCode>\$#,##0;[Red]\(\$#,##0\);\-</c:formatCode>
                <c:ptCount val="12"/>
                <c:pt idx="0">
                  <c:v>1845</c:v>
                </c:pt>
                <c:pt idx="1">
                  <c:v>1913</c:v>
                </c:pt>
                <c:pt idx="2">
                  <c:v>1946</c:v>
                </c:pt>
                <c:pt idx="3">
                  <c:v>2140</c:v>
                </c:pt>
                <c:pt idx="4">
                  <c:v>2340</c:v>
                </c:pt>
                <c:pt idx="5">
                  <c:v>2262</c:v>
                </c:pt>
                <c:pt idx="6">
                  <c:v>2244</c:v>
                </c:pt>
                <c:pt idx="7">
                  <c:v>2244</c:v>
                </c:pt>
                <c:pt idx="8">
                  <c:v>2278</c:v>
                </c:pt>
                <c:pt idx="9">
                  <c:v>2278</c:v>
                </c:pt>
                <c:pt idx="10">
                  <c:v>2312</c:v>
                </c:pt>
                <c:pt idx="11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C-CA41-BFB1-93E710A7949F}"/>
            </c:ext>
          </c:extLst>
        </c:ser>
        <c:ser>
          <c:idx val="1"/>
          <c:order val="1"/>
          <c:tx>
            <c:v>Recognized Revenue</c:v>
          </c:tx>
          <c:spPr>
            <a:ln cmpd="sng">
              <a:solidFill>
                <a:srgbClr val="E97132"/>
              </a:solidFill>
            </a:ln>
          </c:spPr>
          <c:marker>
            <c:symbol val="none"/>
          </c:marker>
          <c:cat>
            <c:strRef>
              <c:f>Summary!$B$14:$B$25</c:f>
              <c:strCache>
                <c:ptCount val="12"/>
                <c:pt idx="0">
                  <c:v>Jan-27</c:v>
                </c:pt>
                <c:pt idx="1">
                  <c:v>Feb-27</c:v>
                </c:pt>
                <c:pt idx="2">
                  <c:v>Mar-27</c:v>
                </c:pt>
                <c:pt idx="3">
                  <c:v>Apr-27</c:v>
                </c:pt>
                <c:pt idx="4">
                  <c:v>May-27</c:v>
                </c:pt>
                <c:pt idx="5">
                  <c:v>Jun-27</c:v>
                </c:pt>
                <c:pt idx="6">
                  <c:v>Jul-27</c:v>
                </c:pt>
                <c:pt idx="7">
                  <c:v>Aug-27</c:v>
                </c:pt>
                <c:pt idx="8">
                  <c:v>Sep-27</c:v>
                </c:pt>
                <c:pt idx="9">
                  <c:v>Oct-27</c:v>
                </c:pt>
                <c:pt idx="10">
                  <c:v>Nov-27</c:v>
                </c:pt>
                <c:pt idx="11">
                  <c:v>Dec-27</c:v>
                </c:pt>
              </c:strCache>
            </c:strRef>
          </c:cat>
          <c:val>
            <c:numRef>
              <c:f>Summary!$D$14:$D$25</c:f>
              <c:numCache>
                <c:formatCode>\$#,##0;[Red]\(\$#,##0\);\-</c:formatCode>
                <c:ptCount val="12"/>
                <c:pt idx="0">
                  <c:v>1560</c:v>
                </c:pt>
                <c:pt idx="1">
                  <c:v>1630</c:v>
                </c:pt>
                <c:pt idx="2">
                  <c:v>1685</c:v>
                </c:pt>
                <c:pt idx="3">
                  <c:v>1750</c:v>
                </c:pt>
                <c:pt idx="4">
                  <c:v>1830</c:v>
                </c:pt>
                <c:pt idx="5">
                  <c:v>1915</c:v>
                </c:pt>
                <c:pt idx="6">
                  <c:v>1840.08</c:v>
                </c:pt>
                <c:pt idx="7">
                  <c:v>1840.08</c:v>
                </c:pt>
                <c:pt idx="8">
                  <c:v>1867.9599999999998</c:v>
                </c:pt>
                <c:pt idx="9">
                  <c:v>1867.9599999999998</c:v>
                </c:pt>
                <c:pt idx="10">
                  <c:v>1895.84</c:v>
                </c:pt>
                <c:pt idx="11">
                  <c:v>1895.84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C-CA41-BFB1-93E710A79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6913768"/>
        <c:axId val="759150831"/>
      </c:lineChart>
      <c:catAx>
        <c:axId val="1326913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759150831"/>
        <c:crosses val="autoZero"/>
        <c:auto val="1"/>
        <c:lblAlgn val="ctr"/>
        <c:lblOffset val="100"/>
        <c:noMultiLvlLbl val="1"/>
      </c:catAx>
      <c:valAx>
        <c:axId val="7591508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\$0.0,&quot;M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32691376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203200</xdr:colOff>
      <xdr:row>12</xdr:row>
      <xdr:rowOff>0</xdr:rowOff>
    </xdr:from>
    <xdr:ext cx="6400800" cy="4203700"/>
    <xdr:graphicFrame macro="">
      <xdr:nvGraphicFramePr>
        <xdr:cNvPr id="1086590338" name="Chart 1">
          <a:extLst>
            <a:ext uri="{FF2B5EF4-FFF2-40B4-BE49-F238E27FC236}">
              <a16:creationId xmlns:a16="http://schemas.microsoft.com/office/drawing/2014/main" id="{00000000-0008-0000-0000-0000820DC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999"/>
  <sheetViews>
    <sheetView showGridLines="0" tabSelected="1" workbookViewId="0"/>
  </sheetViews>
  <sheetFormatPr baseColWidth="10" defaultColWidth="12.6640625" defaultRowHeight="15" customHeight="1" x14ac:dyDescent="0.2"/>
  <cols>
    <col min="1" max="1" width="3.33203125" customWidth="1"/>
    <col min="2" max="2" width="16" customWidth="1"/>
    <col min="3" max="3" width="15" customWidth="1"/>
    <col min="4" max="4" width="17" customWidth="1"/>
    <col min="5" max="6" width="15" customWidth="1"/>
    <col min="7" max="7" width="16" customWidth="1"/>
    <col min="8" max="8" width="14" customWidth="1"/>
    <col min="9" max="9" width="3" customWidth="1"/>
    <col min="10" max="15" width="14" customWidth="1"/>
    <col min="16" max="27" width="8.83203125" customWidth="1"/>
  </cols>
  <sheetData>
    <row r="2" spans="2:15" ht="24.75" customHeight="1" x14ac:dyDescent="0.2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ht="24.75" customHeight="1" x14ac:dyDescent="0.2">
      <c r="B3" s="51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2:15" ht="13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4" customHeight="1" x14ac:dyDescent="0.2">
      <c r="B5" s="2" t="s">
        <v>2</v>
      </c>
      <c r="C5" s="3" t="str">
        <f>Assumptions!$C$4</f>
        <v>Base</v>
      </c>
      <c r="D5" s="2"/>
      <c r="E5" s="2" t="s">
        <v>3</v>
      </c>
      <c r="F5" s="4">
        <f>Assumptions!$C$5</f>
        <v>46568</v>
      </c>
      <c r="G5" s="2"/>
      <c r="H5" s="2" t="s">
        <v>4</v>
      </c>
      <c r="I5" s="83" t="str">
        <f>Checks!$C$5</f>
        <v>PASS</v>
      </c>
      <c r="J5" s="82"/>
      <c r="K5" s="2" t="s">
        <v>5</v>
      </c>
      <c r="L5" s="3" t="str">
        <f>Assumptions!$C$6</f>
        <v>USD ($000)</v>
      </c>
      <c r="M5" s="1"/>
      <c r="N5" s="1"/>
      <c r="O5" s="1"/>
    </row>
    <row r="6" spans="2:15" ht="13.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9.5" customHeight="1" x14ac:dyDescent="0.2">
      <c r="B7" s="84" t="s">
        <v>6</v>
      </c>
      <c r="C7" s="85"/>
      <c r="D7" s="86"/>
      <c r="E7" s="84" t="s">
        <v>7</v>
      </c>
      <c r="F7" s="85"/>
      <c r="G7" s="86"/>
      <c r="H7" s="84" t="s">
        <v>8</v>
      </c>
      <c r="I7" s="85"/>
      <c r="J7" s="86"/>
      <c r="K7" s="84" t="s">
        <v>9</v>
      </c>
      <c r="L7" s="85"/>
      <c r="M7" s="86"/>
      <c r="N7" s="84" t="s">
        <v>10</v>
      </c>
      <c r="O7" s="86"/>
    </row>
    <row r="8" spans="2:15" ht="25.5" customHeight="1" x14ac:dyDescent="0.2">
      <c r="B8" s="87">
        <f>'Op Build'!O14</f>
        <v>26114</v>
      </c>
      <c r="C8" s="88"/>
      <c r="D8" s="77"/>
      <c r="E8" s="87">
        <f>'Op Build'!O15</f>
        <v>21577.759999999998</v>
      </c>
      <c r="F8" s="88"/>
      <c r="G8" s="77"/>
      <c r="H8" s="90">
        <f>'Op Build'!O38</f>
        <v>-17187.567800000001</v>
      </c>
      <c r="I8" s="88"/>
      <c r="J8" s="77"/>
      <c r="K8" s="87">
        <f>'Op Build'!O42</f>
        <v>12252.432199999997</v>
      </c>
      <c r="L8" s="88"/>
      <c r="M8" s="77"/>
      <c r="N8" s="76">
        <f>'Op Build'!O43</f>
        <v>6.7401834550286299</v>
      </c>
      <c r="O8" s="77"/>
    </row>
    <row r="9" spans="2:15" ht="25.5" customHeight="1" x14ac:dyDescent="0.2">
      <c r="B9" s="78"/>
      <c r="C9" s="89"/>
      <c r="D9" s="79"/>
      <c r="E9" s="78"/>
      <c r="F9" s="89"/>
      <c r="G9" s="79"/>
      <c r="H9" s="78"/>
      <c r="I9" s="89"/>
      <c r="J9" s="79"/>
      <c r="K9" s="78"/>
      <c r="L9" s="89"/>
      <c r="M9" s="79"/>
      <c r="N9" s="78"/>
      <c r="O9" s="79"/>
    </row>
    <row r="10" spans="2:15" ht="13.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5" ht="13.5" customHeight="1" x14ac:dyDescent="0.2">
      <c r="B11" s="80" t="s">
        <v>11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2"/>
    </row>
    <row r="12" spans="2:15" ht="13.5" customHeight="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ht="30" customHeight="1" x14ac:dyDescent="0.2"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1"/>
      <c r="J13" s="1"/>
      <c r="K13" s="1"/>
      <c r="L13" s="1"/>
      <c r="M13" s="1"/>
      <c r="N13" s="1"/>
      <c r="O13" s="1"/>
    </row>
    <row r="14" spans="2:15" ht="25" customHeight="1" x14ac:dyDescent="0.2">
      <c r="B14" s="6" t="s">
        <v>19</v>
      </c>
      <c r="C14" s="7">
        <f>'Op Build'!C14</f>
        <v>1845</v>
      </c>
      <c r="D14" s="7">
        <f>'Op Build'!C15</f>
        <v>1560</v>
      </c>
      <c r="E14" s="7">
        <f>'Op Build'!C38</f>
        <v>-1262.4000000000001</v>
      </c>
      <c r="F14" s="7">
        <f>'Op Build'!C42</f>
        <v>30557.599999999999</v>
      </c>
      <c r="G14" s="8">
        <f>'Op Build'!C23</f>
        <v>924.04</v>
      </c>
      <c r="H14" s="8">
        <f>'Op Build'!C10</f>
        <v>18</v>
      </c>
      <c r="I14" s="1"/>
      <c r="J14" s="1"/>
      <c r="K14" s="1"/>
      <c r="L14" s="1"/>
      <c r="M14" s="1"/>
      <c r="N14" s="1"/>
      <c r="O14" s="1"/>
    </row>
    <row r="15" spans="2:15" ht="25" customHeight="1" x14ac:dyDescent="0.2">
      <c r="B15" s="6" t="s">
        <v>20</v>
      </c>
      <c r="C15" s="7">
        <f>'Op Build'!D14</f>
        <v>1913</v>
      </c>
      <c r="D15" s="7">
        <f>'Op Build'!D15</f>
        <v>1630</v>
      </c>
      <c r="E15" s="7">
        <f>'Op Build'!D38</f>
        <v>-1259.55</v>
      </c>
      <c r="F15" s="7">
        <f>'Op Build'!D42</f>
        <v>29113.05</v>
      </c>
      <c r="G15" s="8">
        <f>'Op Build'!D23</f>
        <v>929.95151999999996</v>
      </c>
      <c r="H15" s="8">
        <f>'Op Build'!D10</f>
        <v>18</v>
      </c>
      <c r="I15" s="1"/>
      <c r="J15" s="1"/>
      <c r="K15" s="1"/>
      <c r="L15" s="1"/>
      <c r="M15" s="1"/>
      <c r="N15" s="1"/>
      <c r="O15" s="1"/>
    </row>
    <row r="16" spans="2:15" ht="25" customHeight="1" x14ac:dyDescent="0.2">
      <c r="B16" s="6" t="s">
        <v>21</v>
      </c>
      <c r="C16" s="7">
        <f>'Op Build'!E14</f>
        <v>1946</v>
      </c>
      <c r="D16" s="7">
        <f>'Op Build'!E15</f>
        <v>1685</v>
      </c>
      <c r="E16" s="7">
        <f>'Op Build'!E38</f>
        <v>-1275.17</v>
      </c>
      <c r="F16" s="7">
        <f>'Op Build'!E42</f>
        <v>27647.879999999997</v>
      </c>
      <c r="G16" s="8">
        <f>'Op Build'!E23</f>
        <v>936.79210175999992</v>
      </c>
      <c r="H16" s="8">
        <f>'Op Build'!E10</f>
        <v>19</v>
      </c>
      <c r="I16" s="1"/>
      <c r="J16" s="1"/>
      <c r="K16" s="1"/>
      <c r="L16" s="1"/>
      <c r="M16" s="1"/>
      <c r="N16" s="1"/>
      <c r="O16" s="1"/>
    </row>
    <row r="17" spans="2:15" ht="25" customHeight="1" x14ac:dyDescent="0.2">
      <c r="B17" s="6" t="s">
        <v>22</v>
      </c>
      <c r="C17" s="7">
        <f>'Op Build'!F14</f>
        <v>2140</v>
      </c>
      <c r="D17" s="7">
        <f>'Op Build'!F15</f>
        <v>1750</v>
      </c>
      <c r="E17" s="7">
        <f>'Op Build'!F38</f>
        <v>-1290</v>
      </c>
      <c r="F17" s="7">
        <f>'Op Build'!F42</f>
        <v>26162.879999999997</v>
      </c>
      <c r="G17" s="8">
        <f>'Op Build'!F23</f>
        <v>945.48738864063989</v>
      </c>
      <c r="H17" s="8">
        <f>'Op Build'!F10</f>
        <v>19</v>
      </c>
      <c r="I17" s="1"/>
      <c r="J17" s="1"/>
      <c r="K17" s="1"/>
      <c r="L17" s="1"/>
      <c r="M17" s="1"/>
      <c r="N17" s="1"/>
      <c r="O17" s="1"/>
    </row>
    <row r="18" spans="2:15" ht="25" customHeight="1" x14ac:dyDescent="0.2">
      <c r="B18" s="6" t="s">
        <v>23</v>
      </c>
      <c r="C18" s="7">
        <f>'Op Build'!G14</f>
        <v>2340</v>
      </c>
      <c r="D18" s="7">
        <f>'Op Build'!G15</f>
        <v>1830</v>
      </c>
      <c r="E18" s="7">
        <f>'Op Build'!G38</f>
        <v>-1291.9100000000001</v>
      </c>
      <c r="F18" s="7">
        <f>'Op Build'!G42</f>
        <v>24670.969999999998</v>
      </c>
      <c r="G18" s="8">
        <f>'Op Build'!G23</f>
        <v>955.0870273655928</v>
      </c>
      <c r="H18" s="8">
        <f>'Op Build'!G10</f>
        <v>20</v>
      </c>
      <c r="I18" s="1"/>
      <c r="J18" s="1"/>
      <c r="K18" s="1"/>
      <c r="L18" s="1"/>
      <c r="M18" s="1"/>
      <c r="N18" s="1"/>
      <c r="O18" s="1"/>
    </row>
    <row r="19" spans="2:15" ht="25" customHeight="1" x14ac:dyDescent="0.2">
      <c r="B19" s="6" t="s">
        <v>24</v>
      </c>
      <c r="C19" s="7">
        <f>'Op Build'!H14</f>
        <v>2262</v>
      </c>
      <c r="D19" s="7">
        <f>'Op Build'!H15</f>
        <v>1915</v>
      </c>
      <c r="E19" s="7">
        <f>'Op Build'!H38</f>
        <v>-1301.625</v>
      </c>
      <c r="F19" s="7">
        <f>'Op Build'!H42</f>
        <v>23159.344999999998</v>
      </c>
      <c r="G19" s="8">
        <f>'Op Build'!H23</f>
        <v>966.53615709193684</v>
      </c>
      <c r="H19" s="8">
        <f>'Op Build'!H10</f>
        <v>20</v>
      </c>
      <c r="I19" s="1"/>
      <c r="J19" s="1"/>
      <c r="K19" s="1"/>
      <c r="L19" s="1"/>
      <c r="M19" s="1"/>
      <c r="N19" s="1"/>
      <c r="O19" s="1"/>
    </row>
    <row r="20" spans="2:15" ht="25" customHeight="1" x14ac:dyDescent="0.2">
      <c r="B20" s="6" t="s">
        <v>25</v>
      </c>
      <c r="C20" s="7">
        <f>'Op Build'!I14</f>
        <v>2244</v>
      </c>
      <c r="D20" s="7">
        <f>'Op Build'!I15</f>
        <v>1840.08</v>
      </c>
      <c r="E20" s="7">
        <f>'Op Build'!I38</f>
        <v>-1420.1424000000002</v>
      </c>
      <c r="F20" s="7">
        <f>'Op Build'!I42</f>
        <v>21519.202599999997</v>
      </c>
      <c r="G20" s="8">
        <f>'Op Build'!I23</f>
        <v>974.93772320683365</v>
      </c>
      <c r="H20" s="8">
        <f>'Op Build'!I10</f>
        <v>20</v>
      </c>
      <c r="I20" s="1"/>
      <c r="J20" s="1"/>
      <c r="K20" s="1"/>
      <c r="L20" s="1"/>
      <c r="M20" s="1"/>
      <c r="N20" s="1"/>
      <c r="O20" s="1"/>
    </row>
    <row r="21" spans="2:15" ht="25" customHeight="1" x14ac:dyDescent="0.2">
      <c r="B21" s="6" t="s">
        <v>26</v>
      </c>
      <c r="C21" s="7">
        <f>'Op Build'!J14</f>
        <v>2244</v>
      </c>
      <c r="D21" s="7">
        <f>'Op Build'!J15</f>
        <v>1840.08</v>
      </c>
      <c r="E21" s="7">
        <f>'Op Build'!J38</f>
        <v>-1493.0424000000003</v>
      </c>
      <c r="F21" s="7">
        <f>'Op Build'!J42</f>
        <v>19801.160199999998</v>
      </c>
      <c r="G21" s="8">
        <f>'Op Build'!J23</f>
        <v>983.23847052835163</v>
      </c>
      <c r="H21" s="8">
        <f>'Op Build'!J10</f>
        <v>20</v>
      </c>
      <c r="I21" s="1"/>
      <c r="J21" s="1"/>
      <c r="K21" s="1"/>
      <c r="L21" s="1"/>
      <c r="M21" s="1"/>
      <c r="N21" s="1"/>
      <c r="O21" s="1"/>
    </row>
    <row r="22" spans="2:15" ht="25" customHeight="1" x14ac:dyDescent="0.2">
      <c r="B22" s="6" t="s">
        <v>27</v>
      </c>
      <c r="C22" s="7">
        <f>'Op Build'!K14</f>
        <v>2278</v>
      </c>
      <c r="D22" s="7">
        <f>'Op Build'!K15</f>
        <v>1867.9599999999998</v>
      </c>
      <c r="E22" s="7">
        <f>'Op Build'!K38</f>
        <v>-1546.2688000000001</v>
      </c>
      <c r="F22" s="7">
        <f>'Op Build'!K42</f>
        <v>18024.891399999997</v>
      </c>
      <c r="G22" s="8">
        <f>'Op Build'!K23</f>
        <v>992.43960888201138</v>
      </c>
      <c r="H22" s="8">
        <f>'Op Build'!K10</f>
        <v>20</v>
      </c>
      <c r="I22" s="1"/>
      <c r="J22" s="1"/>
      <c r="K22" s="1"/>
      <c r="L22" s="1"/>
      <c r="M22" s="1"/>
      <c r="N22" s="1"/>
      <c r="O22" s="1"/>
    </row>
    <row r="23" spans="2:15" ht="25" customHeight="1" x14ac:dyDescent="0.2">
      <c r="B23" s="6" t="s">
        <v>28</v>
      </c>
      <c r="C23" s="7">
        <f>'Op Build'!L14</f>
        <v>2278</v>
      </c>
      <c r="D23" s="7">
        <f>'Op Build'!L15</f>
        <v>1867.9599999999998</v>
      </c>
      <c r="E23" s="7">
        <f>'Op Build'!L38</f>
        <v>-1619.9688000000003</v>
      </c>
      <c r="F23" s="7">
        <f>'Op Build'!L42</f>
        <v>16169.922599999996</v>
      </c>
      <c r="G23" s="8">
        <f>'Op Build'!L23</f>
        <v>1001.5303335754272</v>
      </c>
      <c r="H23" s="8">
        <f>'Op Build'!L10</f>
        <v>20</v>
      </c>
      <c r="I23" s="1"/>
      <c r="J23" s="1"/>
      <c r="K23" s="1"/>
      <c r="L23" s="1"/>
      <c r="M23" s="1"/>
      <c r="N23" s="1"/>
      <c r="O23" s="1"/>
    </row>
    <row r="24" spans="2:15" ht="25" customHeight="1" x14ac:dyDescent="0.2">
      <c r="B24" s="6" t="s">
        <v>29</v>
      </c>
      <c r="C24" s="7">
        <f>'Op Build'!M14</f>
        <v>2312</v>
      </c>
      <c r="D24" s="7">
        <f>'Op Build'!M15</f>
        <v>1895.84</v>
      </c>
      <c r="E24" s="7">
        <f>'Op Build'!M38</f>
        <v>-1673.9952000000001</v>
      </c>
      <c r="F24" s="7">
        <f>'Op Build'!M42</f>
        <v>14255.927399999997</v>
      </c>
      <c r="G24" s="8">
        <f>'Op Build'!M23</f>
        <v>1010.511969572522</v>
      </c>
      <c r="H24" s="8">
        <f>'Op Build'!M10</f>
        <v>20</v>
      </c>
      <c r="I24" s="1"/>
      <c r="J24" s="1"/>
      <c r="K24" s="1"/>
      <c r="L24" s="1"/>
      <c r="M24" s="1"/>
      <c r="N24" s="1"/>
      <c r="O24" s="1"/>
    </row>
    <row r="25" spans="2:15" ht="25" customHeight="1" x14ac:dyDescent="0.2">
      <c r="B25" s="9" t="s">
        <v>30</v>
      </c>
      <c r="C25" s="10">
        <f>'Op Build'!N14</f>
        <v>2312</v>
      </c>
      <c r="D25" s="10">
        <f>'Op Build'!N15</f>
        <v>1895.84</v>
      </c>
      <c r="E25" s="10">
        <f>'Op Build'!N38</f>
        <v>-1753.4952000000001</v>
      </c>
      <c r="F25" s="10">
        <f>'Op Build'!N42</f>
        <v>12252.432199999997</v>
      </c>
      <c r="G25" s="11">
        <f>'Op Build'!N23</f>
        <v>1019.3858259376518</v>
      </c>
      <c r="H25" s="11">
        <f>'Op Build'!N10</f>
        <v>20</v>
      </c>
      <c r="I25" s="1"/>
      <c r="J25" s="1"/>
      <c r="K25" s="1"/>
      <c r="L25" s="1"/>
      <c r="M25" s="1"/>
      <c r="N25" s="1"/>
      <c r="O25" s="1"/>
    </row>
    <row r="26" spans="2:15" ht="13.5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ht="13.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ht="13.5" customHeight="1" x14ac:dyDescent="0.2"/>
    <row r="29" spans="2:15" ht="13.5" customHeight="1" x14ac:dyDescent="0.2"/>
    <row r="30" spans="2:15" ht="13.5" customHeight="1" x14ac:dyDescent="0.2"/>
    <row r="31" spans="2:15" ht="13.5" customHeight="1" x14ac:dyDescent="0.2"/>
    <row r="32" spans="2:15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</sheetData>
  <mergeCells count="12">
    <mergeCell ref="N8:O9"/>
    <mergeCell ref="B11:O11"/>
    <mergeCell ref="I5:J5"/>
    <mergeCell ref="E7:G7"/>
    <mergeCell ref="H7:J7"/>
    <mergeCell ref="K7:M7"/>
    <mergeCell ref="N7:O7"/>
    <mergeCell ref="B7:D7"/>
    <mergeCell ref="B8:D9"/>
    <mergeCell ref="E8:G9"/>
    <mergeCell ref="H8:J9"/>
    <mergeCell ref="K8:M9"/>
  </mergeCells>
  <conditionalFormatting sqref="I5">
    <cfRule type="containsText" dxfId="10" priority="1" operator="containsText" text="PASS">
      <formula>NOT(ISERROR(SEARCH(("PASS"),(I5))))</formula>
    </cfRule>
    <cfRule type="containsText" dxfId="9" priority="2" operator="containsText" text="FAIL">
      <formula>NOT(ISERROR(SEARCH(("FAIL"),(I5))))</formula>
    </cfRule>
    <cfRule type="containsText" dxfId="8" priority="3" operator="containsText" text="WATCH">
      <formula>NOT(ISERROR(SEARCH(("WATCH"),(I5))))</formula>
    </cfRule>
  </conditionalFormatting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999"/>
  <sheetViews>
    <sheetView showGridLines="0" workbookViewId="0">
      <selection activeCell="F35" sqref="F35"/>
    </sheetView>
  </sheetViews>
  <sheetFormatPr baseColWidth="10" defaultColWidth="12.6640625" defaultRowHeight="15" customHeight="1" x14ac:dyDescent="0.2"/>
  <cols>
    <col min="1" max="1" width="3.33203125" customWidth="1"/>
    <col min="2" max="2" width="31" customWidth="1"/>
    <col min="3" max="6" width="14" customWidth="1"/>
    <col min="7" max="7" width="42" customWidth="1"/>
    <col min="8" max="27" width="8.83203125" customWidth="1"/>
  </cols>
  <sheetData>
    <row r="2" spans="2:7" s="58" customFormat="1" ht="24" customHeight="1" x14ac:dyDescent="0.2">
      <c r="B2" s="59" t="s">
        <v>0</v>
      </c>
      <c r="C2" s="59"/>
      <c r="D2" s="59"/>
      <c r="E2" s="59"/>
      <c r="F2" s="59"/>
      <c r="G2" s="59"/>
    </row>
    <row r="3" spans="2:7" s="58" customFormat="1" ht="24" customHeight="1" x14ac:dyDescent="0.2">
      <c r="B3" s="60" t="s">
        <v>31</v>
      </c>
      <c r="C3" s="61"/>
      <c r="D3" s="61"/>
      <c r="E3" s="61"/>
      <c r="F3" s="61"/>
      <c r="G3" s="61"/>
    </row>
    <row r="4" spans="2:7" ht="13.5" customHeight="1" x14ac:dyDescent="0.2">
      <c r="B4" s="55" t="s">
        <v>2</v>
      </c>
      <c r="C4" s="56" t="s">
        <v>32</v>
      </c>
      <c r="D4" s="57"/>
      <c r="E4" s="57"/>
      <c r="F4" s="57"/>
      <c r="G4" s="57"/>
    </row>
    <row r="5" spans="2:7" ht="13.5" customHeight="1" x14ac:dyDescent="0.2">
      <c r="B5" s="12" t="s">
        <v>3</v>
      </c>
      <c r="C5" s="14">
        <v>46568</v>
      </c>
      <c r="D5" s="1"/>
      <c r="E5" s="1"/>
      <c r="F5" s="1"/>
      <c r="G5" s="1"/>
    </row>
    <row r="6" spans="2:7" ht="13.5" customHeight="1" x14ac:dyDescent="0.2">
      <c r="B6" s="12" t="s">
        <v>5</v>
      </c>
      <c r="C6" s="13" t="s">
        <v>33</v>
      </c>
      <c r="D6" s="1"/>
      <c r="E6" s="1"/>
      <c r="F6" s="1"/>
      <c r="G6" s="1"/>
    </row>
    <row r="7" spans="2:7" ht="13.5" customHeight="1" x14ac:dyDescent="0.2">
      <c r="B7" s="12" t="s">
        <v>34</v>
      </c>
      <c r="C7" s="15">
        <v>18</v>
      </c>
      <c r="D7" s="1"/>
      <c r="E7" s="1"/>
      <c r="F7" s="1"/>
      <c r="G7" s="1"/>
    </row>
    <row r="8" spans="2:7" ht="13.5" customHeight="1" x14ac:dyDescent="0.2">
      <c r="B8" s="12" t="s">
        <v>35</v>
      </c>
      <c r="C8" s="15">
        <v>920</v>
      </c>
      <c r="D8" s="1"/>
      <c r="E8" s="1"/>
      <c r="F8" s="1"/>
      <c r="G8" s="1"/>
    </row>
    <row r="9" spans="2:7" ht="13.5" customHeight="1" x14ac:dyDescent="0.2">
      <c r="B9" s="12" t="s">
        <v>36</v>
      </c>
      <c r="C9" s="16">
        <v>32000</v>
      </c>
      <c r="D9" s="1"/>
      <c r="E9" s="1"/>
      <c r="F9" s="1"/>
      <c r="G9" s="1"/>
    </row>
    <row r="10" spans="2:7" ht="13.5" customHeight="1" x14ac:dyDescent="0.2">
      <c r="B10" s="12" t="s">
        <v>37</v>
      </c>
      <c r="C10" s="16">
        <v>110</v>
      </c>
      <c r="D10" s="1"/>
      <c r="E10" s="1"/>
      <c r="F10" s="1"/>
      <c r="G10" s="1"/>
    </row>
    <row r="11" spans="2:7" ht="13.5" customHeight="1" x14ac:dyDescent="0.2">
      <c r="B11" s="12" t="s">
        <v>38</v>
      </c>
      <c r="C11" s="17">
        <v>0.01</v>
      </c>
      <c r="D11" s="1"/>
      <c r="E11" s="1"/>
      <c r="F11" s="1"/>
      <c r="G11" s="1"/>
    </row>
    <row r="12" spans="2:7" ht="13.5" customHeight="1" x14ac:dyDescent="0.2">
      <c r="B12" s="12" t="s">
        <v>39</v>
      </c>
      <c r="C12" s="17">
        <v>3.0000000000000001E-3</v>
      </c>
      <c r="D12" s="1"/>
      <c r="E12" s="1"/>
      <c r="F12" s="1"/>
      <c r="G12" s="1"/>
    </row>
    <row r="13" spans="2:7" ht="13.5" customHeight="1" x14ac:dyDescent="0.2">
      <c r="B13" s="1"/>
      <c r="C13" s="1"/>
      <c r="D13" s="1"/>
      <c r="E13" s="1"/>
      <c r="F13" s="1"/>
      <c r="G13" s="1"/>
    </row>
    <row r="14" spans="2:7" s="58" customFormat="1" ht="19.5" customHeight="1" x14ac:dyDescent="0.2">
      <c r="B14" s="62" t="s">
        <v>40</v>
      </c>
      <c r="C14" s="62"/>
      <c r="D14" s="62"/>
      <c r="E14" s="62"/>
      <c r="F14" s="62"/>
      <c r="G14" s="62"/>
    </row>
    <row r="15" spans="2:7" s="58" customFormat="1" ht="27.75" customHeight="1" x14ac:dyDescent="0.2">
      <c r="B15" s="64" t="s">
        <v>41</v>
      </c>
      <c r="C15" s="65" t="s">
        <v>32</v>
      </c>
      <c r="D15" s="65" t="s">
        <v>42</v>
      </c>
      <c r="E15" s="65" t="s">
        <v>43</v>
      </c>
      <c r="F15" s="65" t="s">
        <v>44</v>
      </c>
      <c r="G15" s="63" t="s">
        <v>45</v>
      </c>
    </row>
    <row r="16" spans="2:7" ht="13.5" customHeight="1" x14ac:dyDescent="0.2">
      <c r="B16" s="52" t="s">
        <v>46</v>
      </c>
      <c r="C16" s="53">
        <v>0.02</v>
      </c>
      <c r="D16" s="53">
        <v>0.04</v>
      </c>
      <c r="E16" s="53">
        <v>0</v>
      </c>
      <c r="F16" s="54">
        <f t="shared" ref="F16:F23" si="0">IF($C$4="Growth",$D16,IF($C$4="Downside",$E16,$C16))</f>
        <v>0.02</v>
      </c>
      <c r="G16" s="52" t="s">
        <v>47</v>
      </c>
    </row>
    <row r="17" spans="2:7" ht="13.5" customHeight="1" x14ac:dyDescent="0.2">
      <c r="B17" s="18" t="s">
        <v>48</v>
      </c>
      <c r="C17" s="19">
        <v>0.85</v>
      </c>
      <c r="D17" s="19">
        <v>0.95</v>
      </c>
      <c r="E17" s="19">
        <v>0.7</v>
      </c>
      <c r="F17" s="20">
        <f t="shared" si="0"/>
        <v>0.85</v>
      </c>
      <c r="G17" s="18" t="s">
        <v>49</v>
      </c>
    </row>
    <row r="18" spans="2:7" ht="13.5" customHeight="1" x14ac:dyDescent="0.2">
      <c r="B18" s="18" t="s">
        <v>50</v>
      </c>
      <c r="C18" s="19">
        <v>0.82</v>
      </c>
      <c r="D18" s="19">
        <v>0.87</v>
      </c>
      <c r="E18" s="19">
        <v>0.75</v>
      </c>
      <c r="F18" s="20">
        <f t="shared" si="0"/>
        <v>0.82</v>
      </c>
      <c r="G18" s="18" t="s">
        <v>51</v>
      </c>
    </row>
    <row r="19" spans="2:7" ht="13.5" customHeight="1" x14ac:dyDescent="0.2">
      <c r="B19" s="18" t="s">
        <v>52</v>
      </c>
      <c r="C19" s="19">
        <v>1.2E-2</v>
      </c>
      <c r="D19" s="19">
        <v>8.9999999999999993E-3</v>
      </c>
      <c r="E19" s="19">
        <v>1.7999999999999999E-2</v>
      </c>
      <c r="F19" s="20">
        <f t="shared" si="0"/>
        <v>1.2E-2</v>
      </c>
      <c r="G19" s="18" t="s">
        <v>53</v>
      </c>
    </row>
    <row r="20" spans="2:7" ht="13.5" customHeight="1" x14ac:dyDescent="0.2">
      <c r="B20" s="18" t="s">
        <v>54</v>
      </c>
      <c r="C20" s="21">
        <v>1</v>
      </c>
      <c r="D20" s="21">
        <v>1.05</v>
      </c>
      <c r="E20" s="21">
        <v>0.96</v>
      </c>
      <c r="F20" s="22">
        <f t="shared" si="0"/>
        <v>1</v>
      </c>
      <c r="G20" s="18" t="s">
        <v>55</v>
      </c>
    </row>
    <row r="21" spans="2:7" ht="13.5" customHeight="1" x14ac:dyDescent="0.2">
      <c r="B21" s="18" t="s">
        <v>56</v>
      </c>
      <c r="C21" s="21">
        <v>1</v>
      </c>
      <c r="D21" s="21">
        <v>1.04</v>
      </c>
      <c r="E21" s="21">
        <v>0.92</v>
      </c>
      <c r="F21" s="22">
        <f t="shared" si="0"/>
        <v>1</v>
      </c>
      <c r="G21" s="18" t="s">
        <v>57</v>
      </c>
    </row>
    <row r="22" spans="2:7" ht="13.5" customHeight="1" x14ac:dyDescent="0.2">
      <c r="B22" s="18" t="s">
        <v>58</v>
      </c>
      <c r="C22" s="21">
        <v>1</v>
      </c>
      <c r="D22" s="21">
        <v>1.1000000000000001</v>
      </c>
      <c r="E22" s="21">
        <v>0.75</v>
      </c>
      <c r="F22" s="22">
        <f t="shared" si="0"/>
        <v>1</v>
      </c>
      <c r="G22" s="18" t="s">
        <v>59</v>
      </c>
    </row>
    <row r="23" spans="2:7" ht="13.5" customHeight="1" x14ac:dyDescent="0.2">
      <c r="B23" s="18" t="s">
        <v>60</v>
      </c>
      <c r="C23" s="19">
        <v>0.72</v>
      </c>
      <c r="D23" s="19">
        <v>0.75</v>
      </c>
      <c r="E23" s="19">
        <v>0.66</v>
      </c>
      <c r="F23" s="20">
        <f t="shared" si="0"/>
        <v>0.72</v>
      </c>
      <c r="G23" s="18" t="s">
        <v>61</v>
      </c>
    </row>
    <row r="24" spans="2:7" ht="13.5" customHeight="1" x14ac:dyDescent="0.2">
      <c r="B24" s="1"/>
      <c r="C24" s="1"/>
      <c r="D24" s="1"/>
      <c r="E24" s="1"/>
      <c r="F24" s="1"/>
      <c r="G24" s="1"/>
    </row>
    <row r="25" spans="2:7" ht="33.75" customHeight="1" x14ac:dyDescent="0.2">
      <c r="B25" s="23" t="s">
        <v>62</v>
      </c>
      <c r="C25" s="91" t="s">
        <v>63</v>
      </c>
      <c r="D25" s="85"/>
      <c r="E25" s="85"/>
      <c r="F25" s="85"/>
      <c r="G25" s="86"/>
    </row>
    <row r="26" spans="2:7" ht="13.5" customHeight="1" x14ac:dyDescent="0.2">
      <c r="B26" s="1"/>
      <c r="C26" s="1"/>
      <c r="D26" s="1"/>
      <c r="E26" s="1"/>
      <c r="F26" s="1"/>
      <c r="G26" s="1"/>
    </row>
    <row r="27" spans="2:7" ht="13.5" customHeight="1" x14ac:dyDescent="0.2"/>
    <row r="28" spans="2:7" ht="13.5" customHeight="1" x14ac:dyDescent="0.2"/>
    <row r="29" spans="2:7" ht="13.5" customHeight="1" x14ac:dyDescent="0.2"/>
    <row r="30" spans="2:7" ht="13.5" customHeight="1" x14ac:dyDescent="0.2"/>
    <row r="31" spans="2:7" ht="13.5" customHeight="1" x14ac:dyDescent="0.2"/>
    <row r="32" spans="2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</sheetData>
  <mergeCells count="1">
    <mergeCell ref="C25:G25"/>
  </mergeCells>
  <dataValidations count="1">
    <dataValidation type="list" allowBlank="1" sqref="C4" xr:uid="{00000000-0002-0000-0100-000000000000}">
      <formula1>"Base,Growth,Downside"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998"/>
  <sheetViews>
    <sheetView showGridLines="0" topLeftCell="A9" workbookViewId="0">
      <selection activeCell="F43" sqref="F43"/>
    </sheetView>
  </sheetViews>
  <sheetFormatPr baseColWidth="10" defaultColWidth="12.6640625" defaultRowHeight="15" customHeight="1" x14ac:dyDescent="0.2"/>
  <cols>
    <col min="1" max="1" width="3.33203125" customWidth="1"/>
    <col min="2" max="2" width="34" customWidth="1"/>
    <col min="3" max="14" width="13" customWidth="1"/>
    <col min="15" max="15" width="15" customWidth="1"/>
    <col min="16" max="27" width="8.83203125" customWidth="1"/>
  </cols>
  <sheetData>
    <row r="2" spans="2:15" ht="24" customHeight="1" x14ac:dyDescent="0.2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ht="24" customHeight="1" x14ac:dyDescent="0.2">
      <c r="B3" s="51" t="s">
        <v>64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2:15" ht="13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4" customHeight="1" x14ac:dyDescent="0.2">
      <c r="B5" s="24" t="s">
        <v>12</v>
      </c>
      <c r="C5" s="25">
        <v>46388</v>
      </c>
      <c r="D5" s="25">
        <v>46419</v>
      </c>
      <c r="E5" s="25">
        <v>46447</v>
      </c>
      <c r="F5" s="25">
        <v>46478</v>
      </c>
      <c r="G5" s="25">
        <v>46508</v>
      </c>
      <c r="H5" s="25">
        <v>46539</v>
      </c>
      <c r="I5" s="25">
        <v>46569</v>
      </c>
      <c r="J5" s="25">
        <v>46600</v>
      </c>
      <c r="K5" s="25">
        <v>46631</v>
      </c>
      <c r="L5" s="25">
        <v>46661</v>
      </c>
      <c r="M5" s="25">
        <v>46692</v>
      </c>
      <c r="N5" s="25">
        <v>46722</v>
      </c>
      <c r="O5" s="93" t="s">
        <v>65</v>
      </c>
    </row>
    <row r="6" spans="2:15" ht="21.75" customHeight="1" x14ac:dyDescent="0.2">
      <c r="B6" s="24" t="s">
        <v>66</v>
      </c>
      <c r="C6" s="26" t="str">
        <f>IF(C$5&lt;=Assumptions!$C$5,"Actual","Forecast")</f>
        <v>Actual</v>
      </c>
      <c r="D6" s="26" t="str">
        <f>IF(D$5&lt;=Assumptions!$C$5,"Actual","Forecast")</f>
        <v>Actual</v>
      </c>
      <c r="E6" s="26" t="str">
        <f>IF(E$5&lt;=Assumptions!$C$5,"Actual","Forecast")</f>
        <v>Actual</v>
      </c>
      <c r="F6" s="26" t="str">
        <f>IF(F$5&lt;=Assumptions!$C$5,"Actual","Forecast")</f>
        <v>Actual</v>
      </c>
      <c r="G6" s="26" t="str">
        <f>IF(G$5&lt;=Assumptions!$C$5,"Actual","Forecast")</f>
        <v>Actual</v>
      </c>
      <c r="H6" s="26" t="str">
        <f>IF(H$5&lt;=Assumptions!$C$5,"Actual","Forecast")</f>
        <v>Actual</v>
      </c>
      <c r="I6" s="26" t="str">
        <f>IF(I$5&lt;=Assumptions!$C$5,"Actual","Forecast")</f>
        <v>Forecast</v>
      </c>
      <c r="J6" s="26" t="str">
        <f>IF(J$5&lt;=Assumptions!$C$5,"Actual","Forecast")</f>
        <v>Forecast</v>
      </c>
      <c r="K6" s="26" t="str">
        <f>IF(K$5&lt;=Assumptions!$C$5,"Actual","Forecast")</f>
        <v>Forecast</v>
      </c>
      <c r="L6" s="26" t="str">
        <f>IF(L$5&lt;=Assumptions!$C$5,"Actual","Forecast")</f>
        <v>Forecast</v>
      </c>
      <c r="M6" s="26" t="str">
        <f>IF(M$5&lt;=Assumptions!$C$5,"Actual","Forecast")</f>
        <v>Forecast</v>
      </c>
      <c r="N6" s="26" t="str">
        <f>IF(N$5&lt;=Assumptions!$C$5,"Actual","Forecast")</f>
        <v>Forecast</v>
      </c>
      <c r="O6" s="94"/>
    </row>
    <row r="7" spans="2:15" ht="13.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13.5" customHeight="1" x14ac:dyDescent="0.2">
      <c r="B8" s="80" t="s">
        <v>67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2"/>
    </row>
    <row r="9" spans="2:15" ht="13.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ht="13.5" customHeight="1" x14ac:dyDescent="0.2">
      <c r="B10" s="6" t="s">
        <v>18</v>
      </c>
      <c r="C10" s="27">
        <f t="shared" ref="C10:C11" si="0">C47</f>
        <v>18</v>
      </c>
      <c r="D10" s="28">
        <f>IF(D$6="Actual",D47,ROUND(C10*(1+Assumptions!$F$16),0))</f>
        <v>18</v>
      </c>
      <c r="E10" s="28">
        <f>IF(E$6="Actual",E47,ROUND(D10*(1+Assumptions!$F$16),0))</f>
        <v>19</v>
      </c>
      <c r="F10" s="28">
        <f>IF(F$6="Actual",F47,ROUND(E10*(1+Assumptions!$F$16),0))</f>
        <v>19</v>
      </c>
      <c r="G10" s="28">
        <f>IF(G$6="Actual",G47,ROUND(F10*(1+Assumptions!$F$16),0))</f>
        <v>20</v>
      </c>
      <c r="H10" s="28">
        <f>IF(H$6="Actual",H47,ROUND(G10*(1+Assumptions!$F$16),0))</f>
        <v>20</v>
      </c>
      <c r="I10" s="28">
        <f>IF(I$6="Actual",I47,ROUND(H10*(1+Assumptions!$F$16),0))</f>
        <v>20</v>
      </c>
      <c r="J10" s="28">
        <f>IF(J$6="Actual",J47,ROUND(I10*(1+Assumptions!$F$16),0))</f>
        <v>20</v>
      </c>
      <c r="K10" s="28">
        <f>IF(K$6="Actual",K47,ROUND(J10*(1+Assumptions!$F$16),0))</f>
        <v>20</v>
      </c>
      <c r="L10" s="28">
        <f>IF(L$6="Actual",L47,ROUND(K10*(1+Assumptions!$F$16),0))</f>
        <v>20</v>
      </c>
      <c r="M10" s="28">
        <f>IF(M$6="Actual",M47,ROUND(L10*(1+Assumptions!$F$16),0))</f>
        <v>20</v>
      </c>
      <c r="N10" s="28">
        <f>IF(N$6="Actual",N47,ROUND(M10*(1+Assumptions!$F$16),0))</f>
        <v>20</v>
      </c>
      <c r="O10" s="27">
        <f>N10</f>
        <v>20</v>
      </c>
    </row>
    <row r="11" spans="2:15" ht="13.5" customHeight="1" x14ac:dyDescent="0.2">
      <c r="B11" s="6" t="s">
        <v>68</v>
      </c>
      <c r="C11" s="29">
        <f t="shared" si="0"/>
        <v>125</v>
      </c>
      <c r="D11" s="29">
        <f t="shared" ref="D11:N11" si="1">D48</f>
        <v>125</v>
      </c>
      <c r="E11" s="29">
        <f t="shared" si="1"/>
        <v>128</v>
      </c>
      <c r="F11" s="29">
        <f t="shared" si="1"/>
        <v>128</v>
      </c>
      <c r="G11" s="29">
        <f t="shared" si="1"/>
        <v>130</v>
      </c>
      <c r="H11" s="29">
        <f t="shared" si="1"/>
        <v>130</v>
      </c>
      <c r="I11" s="29">
        <f t="shared" si="1"/>
        <v>132</v>
      </c>
      <c r="J11" s="29">
        <f t="shared" si="1"/>
        <v>132</v>
      </c>
      <c r="K11" s="29">
        <f t="shared" si="1"/>
        <v>134</v>
      </c>
      <c r="L11" s="29">
        <f t="shared" si="1"/>
        <v>134</v>
      </c>
      <c r="M11" s="29">
        <f t="shared" si="1"/>
        <v>136</v>
      </c>
      <c r="N11" s="29">
        <f t="shared" si="1"/>
        <v>136</v>
      </c>
      <c r="O11" s="29">
        <f t="shared" ref="O11:O12" si="2">AVERAGE(C11:N11)</f>
        <v>130.83333333333334</v>
      </c>
    </row>
    <row r="12" spans="2:15" ht="13.5" customHeight="1" x14ac:dyDescent="0.2">
      <c r="B12" s="6" t="s">
        <v>48</v>
      </c>
      <c r="C12" s="30">
        <f>IF(C$6="Actual",C49,Assumptions!$F$17)</f>
        <v>0.82</v>
      </c>
      <c r="D12" s="30">
        <f>IF(D$6="Actual",D49,Assumptions!$F$17)</f>
        <v>0.85</v>
      </c>
      <c r="E12" s="30">
        <f>IF(E$6="Actual",E49,Assumptions!$F$17)</f>
        <v>0.8</v>
      </c>
      <c r="F12" s="30">
        <f>IF(F$6="Actual",F49,Assumptions!$F$17)</f>
        <v>0.88</v>
      </c>
      <c r="G12" s="30">
        <f>IF(G$6="Actual",G49,Assumptions!$F$17)</f>
        <v>0.9</v>
      </c>
      <c r="H12" s="30">
        <f>IF(H$6="Actual",H49,Assumptions!$F$17)</f>
        <v>0.87</v>
      </c>
      <c r="I12" s="30">
        <f>IF(I$6="Actual",I49,Assumptions!$F$17)</f>
        <v>0.85</v>
      </c>
      <c r="J12" s="30">
        <f>IF(J$6="Actual",J49,Assumptions!$F$17)</f>
        <v>0.85</v>
      </c>
      <c r="K12" s="30">
        <f>IF(K$6="Actual",K49,Assumptions!$F$17)</f>
        <v>0.85</v>
      </c>
      <c r="L12" s="30">
        <f>IF(L$6="Actual",L49,Assumptions!$F$17)</f>
        <v>0.85</v>
      </c>
      <c r="M12" s="30">
        <f>IF(M$6="Actual",M49,Assumptions!$F$17)</f>
        <v>0.85</v>
      </c>
      <c r="N12" s="30">
        <f>IF(N$6="Actual",N49,Assumptions!$F$17)</f>
        <v>0.85</v>
      </c>
      <c r="O12" s="31">
        <f t="shared" si="2"/>
        <v>0.85166666666666657</v>
      </c>
    </row>
    <row r="13" spans="2:15" ht="13.5" customHeight="1" x14ac:dyDescent="0.2">
      <c r="B13" s="6" t="s">
        <v>69</v>
      </c>
      <c r="C13" s="29">
        <f t="shared" ref="C13:N13" si="3">C10*C11</f>
        <v>2250</v>
      </c>
      <c r="D13" s="29">
        <f t="shared" si="3"/>
        <v>2250</v>
      </c>
      <c r="E13" s="29">
        <f t="shared" si="3"/>
        <v>2432</v>
      </c>
      <c r="F13" s="29">
        <f t="shared" si="3"/>
        <v>2432</v>
      </c>
      <c r="G13" s="29">
        <f t="shared" si="3"/>
        <v>2600</v>
      </c>
      <c r="H13" s="29">
        <f t="shared" si="3"/>
        <v>2600</v>
      </c>
      <c r="I13" s="29">
        <f t="shared" si="3"/>
        <v>2640</v>
      </c>
      <c r="J13" s="29">
        <f t="shared" si="3"/>
        <v>2640</v>
      </c>
      <c r="K13" s="29">
        <f t="shared" si="3"/>
        <v>2680</v>
      </c>
      <c r="L13" s="29">
        <f t="shared" si="3"/>
        <v>2680</v>
      </c>
      <c r="M13" s="29">
        <f t="shared" si="3"/>
        <v>2720</v>
      </c>
      <c r="N13" s="29">
        <f t="shared" si="3"/>
        <v>2720</v>
      </c>
      <c r="O13" s="29">
        <f t="shared" ref="O13:O15" si="4">SUM(C13:N13)</f>
        <v>30644</v>
      </c>
    </row>
    <row r="14" spans="2:15" ht="13.5" customHeight="1" x14ac:dyDescent="0.2">
      <c r="B14" s="32" t="s">
        <v>13</v>
      </c>
      <c r="C14" s="33">
        <f t="shared" ref="C14:N14" si="5">IF(C$6="Actual",C50,C13*C12)</f>
        <v>1845</v>
      </c>
      <c r="D14" s="33">
        <f t="shared" si="5"/>
        <v>1913</v>
      </c>
      <c r="E14" s="33">
        <f t="shared" si="5"/>
        <v>1946</v>
      </c>
      <c r="F14" s="33">
        <f t="shared" si="5"/>
        <v>2140</v>
      </c>
      <c r="G14" s="33">
        <f t="shared" si="5"/>
        <v>2340</v>
      </c>
      <c r="H14" s="33">
        <f t="shared" si="5"/>
        <v>2262</v>
      </c>
      <c r="I14" s="33">
        <f t="shared" si="5"/>
        <v>2244</v>
      </c>
      <c r="J14" s="33">
        <f t="shared" si="5"/>
        <v>2244</v>
      </c>
      <c r="K14" s="33">
        <f t="shared" si="5"/>
        <v>2278</v>
      </c>
      <c r="L14" s="33">
        <f t="shared" si="5"/>
        <v>2278</v>
      </c>
      <c r="M14" s="33">
        <f t="shared" si="5"/>
        <v>2312</v>
      </c>
      <c r="N14" s="33">
        <f t="shared" si="5"/>
        <v>2312</v>
      </c>
      <c r="O14" s="33">
        <f t="shared" si="4"/>
        <v>26114</v>
      </c>
    </row>
    <row r="15" spans="2:15" ht="13.5" customHeight="1" x14ac:dyDescent="0.2">
      <c r="B15" s="34" t="s">
        <v>14</v>
      </c>
      <c r="C15" s="35">
        <f>IF(C$6="Actual",C51,C14*Assumptions!$F$18)</f>
        <v>1560</v>
      </c>
      <c r="D15" s="35">
        <f>IF(D$6="Actual",D51,D14*Assumptions!$F$18)</f>
        <v>1630</v>
      </c>
      <c r="E15" s="35">
        <f>IF(E$6="Actual",E51,E14*Assumptions!$F$18)</f>
        <v>1685</v>
      </c>
      <c r="F15" s="35">
        <f>IF(F$6="Actual",F51,F14*Assumptions!$F$18)</f>
        <v>1750</v>
      </c>
      <c r="G15" s="35">
        <f>IF(G$6="Actual",G51,G14*Assumptions!$F$18)</f>
        <v>1830</v>
      </c>
      <c r="H15" s="35">
        <f>IF(H$6="Actual",H51,H14*Assumptions!$F$18)</f>
        <v>1915</v>
      </c>
      <c r="I15" s="35">
        <f>IF(I$6="Actual",I51,I14*Assumptions!$F$18)</f>
        <v>1840.08</v>
      </c>
      <c r="J15" s="35">
        <f>IF(J$6="Actual",J51,J14*Assumptions!$F$18)</f>
        <v>1840.08</v>
      </c>
      <c r="K15" s="35">
        <f>IF(K$6="Actual",K51,K14*Assumptions!$F$18)</f>
        <v>1867.9599999999998</v>
      </c>
      <c r="L15" s="35">
        <f>IF(L$6="Actual",L51,L14*Assumptions!$F$18)</f>
        <v>1867.9599999999998</v>
      </c>
      <c r="M15" s="35">
        <f>IF(M$6="Actual",M51,M14*Assumptions!$F$18)</f>
        <v>1895.84</v>
      </c>
      <c r="N15" s="35">
        <f>IF(N$6="Actual",N51,N14*Assumptions!$F$18)</f>
        <v>1895.84</v>
      </c>
      <c r="O15" s="36">
        <f t="shared" si="4"/>
        <v>21577.759999999998</v>
      </c>
    </row>
    <row r="16" spans="2:15" ht="13.5" customHeight="1" x14ac:dyDescent="0.2">
      <c r="B16" s="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2:15" ht="13.5" customHeight="1" x14ac:dyDescent="0.2">
      <c r="B17" s="92" t="s">
        <v>70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6"/>
    </row>
    <row r="18" spans="2:15" ht="13.5" customHeight="1" x14ac:dyDescent="0.2">
      <c r="B18" s="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2:15" ht="13.5" customHeight="1" x14ac:dyDescent="0.2">
      <c r="B19" s="6" t="s">
        <v>71</v>
      </c>
      <c r="C19" s="28">
        <f>Assumptions!$C$8</f>
        <v>920</v>
      </c>
      <c r="D19" s="27">
        <f t="shared" ref="D19:N19" si="6">C23</f>
        <v>924.04</v>
      </c>
      <c r="E19" s="27">
        <f t="shared" si="6"/>
        <v>929.95151999999996</v>
      </c>
      <c r="F19" s="27">
        <f t="shared" si="6"/>
        <v>936.79210175999992</v>
      </c>
      <c r="G19" s="27">
        <f t="shared" si="6"/>
        <v>945.48738864063989</v>
      </c>
      <c r="H19" s="27">
        <f t="shared" si="6"/>
        <v>955.0870273655928</v>
      </c>
      <c r="I19" s="27">
        <f t="shared" si="6"/>
        <v>966.53615709193684</v>
      </c>
      <c r="J19" s="27">
        <f t="shared" si="6"/>
        <v>974.93772320683365</v>
      </c>
      <c r="K19" s="27">
        <f t="shared" si="6"/>
        <v>983.23847052835163</v>
      </c>
      <c r="L19" s="27">
        <f t="shared" si="6"/>
        <v>992.43960888201138</v>
      </c>
      <c r="M19" s="27">
        <f t="shared" si="6"/>
        <v>1001.5303335754272</v>
      </c>
      <c r="N19" s="27">
        <f t="shared" si="6"/>
        <v>1010.511969572522</v>
      </c>
      <c r="O19" s="27">
        <f>C19</f>
        <v>920</v>
      </c>
    </row>
    <row r="20" spans="2:15" ht="13.5" customHeight="1" x14ac:dyDescent="0.2">
      <c r="B20" s="6" t="s">
        <v>72</v>
      </c>
      <c r="C20" s="28">
        <f>IF(C$6="Actual",C52,ROUND(C14/Assumptions!$C$10,0))</f>
        <v>16</v>
      </c>
      <c r="D20" s="28">
        <f>IF(D$6="Actual",D52,ROUND(D14/Assumptions!$C$10,0))</f>
        <v>17</v>
      </c>
      <c r="E20" s="28">
        <f>IF(E$6="Actual",E52,ROUND(E14/Assumptions!$C$10,0))</f>
        <v>18</v>
      </c>
      <c r="F20" s="28">
        <f>IF(F$6="Actual",F52,ROUND(F14/Assumptions!$C$10,0))</f>
        <v>19</v>
      </c>
      <c r="G20" s="28">
        <f>IF(G$6="Actual",G52,ROUND(G14/Assumptions!$C$10,0))</f>
        <v>20</v>
      </c>
      <c r="H20" s="28">
        <f>IF(H$6="Actual",H52,ROUND(H14/Assumptions!$C$10,0))</f>
        <v>21</v>
      </c>
      <c r="I20" s="28">
        <f>IF(I$6="Actual",I52,ROUND(I14/Assumptions!$C$10,0))</f>
        <v>20</v>
      </c>
      <c r="J20" s="28">
        <f>IF(J$6="Actual",J52,ROUND(J14/Assumptions!$C$10,0))</f>
        <v>20</v>
      </c>
      <c r="K20" s="28">
        <f>IF(K$6="Actual",K52,ROUND(K14/Assumptions!$C$10,0))</f>
        <v>21</v>
      </c>
      <c r="L20" s="28">
        <f>IF(L$6="Actual",L52,ROUND(L14/Assumptions!$C$10,0))</f>
        <v>21</v>
      </c>
      <c r="M20" s="28">
        <f>IF(M$6="Actual",M52,ROUND(M14/Assumptions!$C$10,0))</f>
        <v>21</v>
      </c>
      <c r="N20" s="28">
        <f>IF(N$6="Actual",N52,ROUND(N14/Assumptions!$C$10,0))</f>
        <v>21</v>
      </c>
      <c r="O20" s="27">
        <f>SUM(C20:N20)</f>
        <v>235</v>
      </c>
    </row>
    <row r="21" spans="2:15" ht="13.5" customHeight="1" x14ac:dyDescent="0.2">
      <c r="B21" s="6" t="s">
        <v>52</v>
      </c>
      <c r="C21" s="30">
        <f>IF(C$6="Actual",C53,Assumptions!$F$19)</f>
        <v>1.2999999999999999E-2</v>
      </c>
      <c r="D21" s="30">
        <f>IF(D$6="Actual",D53,Assumptions!$F$19)</f>
        <v>1.2E-2</v>
      </c>
      <c r="E21" s="30">
        <f>IF(E$6="Actual",E53,Assumptions!$F$19)</f>
        <v>1.2E-2</v>
      </c>
      <c r="F21" s="30">
        <f>IF(F$6="Actual",F53,Assumptions!$F$19)</f>
        <v>1.0999999999999999E-2</v>
      </c>
      <c r="G21" s="30">
        <f>IF(G$6="Actual",G53,Assumptions!$F$19)</f>
        <v>1.0999999999999999E-2</v>
      </c>
      <c r="H21" s="30">
        <f>IF(H$6="Actual",H53,Assumptions!$F$19)</f>
        <v>0.01</v>
      </c>
      <c r="I21" s="30">
        <f>IF(I$6="Actual",I53,Assumptions!$F$19)</f>
        <v>1.2E-2</v>
      </c>
      <c r="J21" s="30">
        <f>IF(J$6="Actual",J53,Assumptions!$F$19)</f>
        <v>1.2E-2</v>
      </c>
      <c r="K21" s="30">
        <f>IF(K$6="Actual",K53,Assumptions!$F$19)</f>
        <v>1.2E-2</v>
      </c>
      <c r="L21" s="30">
        <f>IF(L$6="Actual",L53,Assumptions!$F$19)</f>
        <v>1.2E-2</v>
      </c>
      <c r="M21" s="30">
        <f>IF(M$6="Actual",M53,Assumptions!$F$19)</f>
        <v>1.2E-2</v>
      </c>
      <c r="N21" s="30">
        <f>IF(N$6="Actual",N53,Assumptions!$F$19)</f>
        <v>1.2E-2</v>
      </c>
      <c r="O21" s="31">
        <f>AVERAGE(C21:N21)</f>
        <v>1.1749999999999998E-2</v>
      </c>
    </row>
    <row r="22" spans="2:15" ht="13.5" customHeight="1" x14ac:dyDescent="0.2">
      <c r="B22" s="6" t="s">
        <v>73</v>
      </c>
      <c r="C22" s="38">
        <f t="shared" ref="C22:N22" si="7">C19*C21</f>
        <v>11.959999999999999</v>
      </c>
      <c r="D22" s="38">
        <f t="shared" si="7"/>
        <v>11.088480000000001</v>
      </c>
      <c r="E22" s="38">
        <f t="shared" si="7"/>
        <v>11.159418239999999</v>
      </c>
      <c r="F22" s="38">
        <f t="shared" si="7"/>
        <v>10.304713119359999</v>
      </c>
      <c r="G22" s="38">
        <f t="shared" si="7"/>
        <v>10.400361275047038</v>
      </c>
      <c r="H22" s="38">
        <f t="shared" si="7"/>
        <v>9.5508702736559279</v>
      </c>
      <c r="I22" s="38">
        <f t="shared" si="7"/>
        <v>11.598433885103242</v>
      </c>
      <c r="J22" s="38">
        <f t="shared" si="7"/>
        <v>11.699252678482004</v>
      </c>
      <c r="K22" s="38">
        <f t="shared" si="7"/>
        <v>11.798861646340219</v>
      </c>
      <c r="L22" s="38">
        <f t="shared" si="7"/>
        <v>11.909275306584137</v>
      </c>
      <c r="M22" s="38">
        <f t="shared" si="7"/>
        <v>12.018364002905127</v>
      </c>
      <c r="N22" s="38">
        <f t="shared" si="7"/>
        <v>12.126143634870266</v>
      </c>
      <c r="O22" s="38">
        <f>SUM(C22:N22)</f>
        <v>135.61417406234796</v>
      </c>
    </row>
    <row r="23" spans="2:15" s="58" customFormat="1" ht="13.5" customHeight="1" x14ac:dyDescent="0.2">
      <c r="B23" s="70" t="s">
        <v>17</v>
      </c>
      <c r="C23" s="71">
        <f t="shared" ref="C23:N23" si="8">C19+C20-C22</f>
        <v>924.04</v>
      </c>
      <c r="D23" s="71">
        <f t="shared" si="8"/>
        <v>929.95151999999996</v>
      </c>
      <c r="E23" s="71">
        <f t="shared" si="8"/>
        <v>936.79210175999992</v>
      </c>
      <c r="F23" s="71">
        <f t="shared" si="8"/>
        <v>945.48738864063989</v>
      </c>
      <c r="G23" s="71">
        <f t="shared" si="8"/>
        <v>955.0870273655928</v>
      </c>
      <c r="H23" s="71">
        <f t="shared" si="8"/>
        <v>966.53615709193684</v>
      </c>
      <c r="I23" s="71">
        <f t="shared" si="8"/>
        <v>974.93772320683365</v>
      </c>
      <c r="J23" s="71">
        <f t="shared" si="8"/>
        <v>983.23847052835163</v>
      </c>
      <c r="K23" s="71">
        <f t="shared" si="8"/>
        <v>992.43960888201138</v>
      </c>
      <c r="L23" s="71">
        <f t="shared" si="8"/>
        <v>1001.5303335754272</v>
      </c>
      <c r="M23" s="71">
        <f t="shared" si="8"/>
        <v>1010.511969572522</v>
      </c>
      <c r="N23" s="71">
        <f t="shared" si="8"/>
        <v>1019.3858259376518</v>
      </c>
      <c r="O23" s="71">
        <f>N23</f>
        <v>1019.3858259376518</v>
      </c>
    </row>
    <row r="24" spans="2:15" ht="13.5" customHeight="1" x14ac:dyDescent="0.2">
      <c r="B24" s="74" t="s">
        <v>119</v>
      </c>
      <c r="C24" s="75">
        <f t="shared" ref="C24:N24" si="9">ABS(C23-(C19+C20-C22))</f>
        <v>0</v>
      </c>
      <c r="D24" s="75">
        <f>ABS(D23-(D19+D20-D22))</f>
        <v>0</v>
      </c>
      <c r="E24" s="75">
        <f t="shared" si="9"/>
        <v>0</v>
      </c>
      <c r="F24" s="75">
        <f t="shared" si="9"/>
        <v>0</v>
      </c>
      <c r="G24" s="75">
        <f t="shared" si="9"/>
        <v>0</v>
      </c>
      <c r="H24" s="75">
        <f t="shared" si="9"/>
        <v>0</v>
      </c>
      <c r="I24" s="75">
        <f t="shared" si="9"/>
        <v>0</v>
      </c>
      <c r="J24" s="75">
        <f t="shared" si="9"/>
        <v>0</v>
      </c>
      <c r="K24" s="75">
        <f t="shared" si="9"/>
        <v>0</v>
      </c>
      <c r="L24" s="75">
        <f t="shared" si="9"/>
        <v>0</v>
      </c>
      <c r="M24" s="75">
        <f t="shared" si="9"/>
        <v>0</v>
      </c>
      <c r="N24" s="75">
        <f t="shared" si="9"/>
        <v>0</v>
      </c>
      <c r="O24" s="75">
        <f>SUM(C24:N24)</f>
        <v>0</v>
      </c>
    </row>
    <row r="25" spans="2:15" s="58" customFormat="1" ht="13.5" customHeight="1" x14ac:dyDescent="0.2"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</row>
    <row r="26" spans="2:15" ht="13.5" customHeight="1" x14ac:dyDescent="0.2">
      <c r="B26" s="92" t="s">
        <v>74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6"/>
    </row>
    <row r="27" spans="2:15" ht="13.5" customHeight="1" x14ac:dyDescent="0.2">
      <c r="B27" s="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2:15" ht="13.5" customHeight="1" x14ac:dyDescent="0.2">
      <c r="B28" s="6" t="s">
        <v>75</v>
      </c>
      <c r="C28" s="27">
        <f t="shared" ref="C28:N28" si="10">C54</f>
        <v>135</v>
      </c>
      <c r="D28" s="27">
        <f t="shared" si="10"/>
        <v>138</v>
      </c>
      <c r="E28" s="27">
        <f t="shared" si="10"/>
        <v>140</v>
      </c>
      <c r="F28" s="27">
        <f t="shared" si="10"/>
        <v>143</v>
      </c>
      <c r="G28" s="27">
        <f t="shared" si="10"/>
        <v>146</v>
      </c>
      <c r="H28" s="27">
        <f t="shared" si="10"/>
        <v>150</v>
      </c>
      <c r="I28" s="27">
        <f t="shared" si="10"/>
        <v>154</v>
      </c>
      <c r="J28" s="27">
        <f t="shared" si="10"/>
        <v>158</v>
      </c>
      <c r="K28" s="27">
        <f t="shared" si="10"/>
        <v>162</v>
      </c>
      <c r="L28" s="27">
        <f t="shared" si="10"/>
        <v>166</v>
      </c>
      <c r="M28" s="27">
        <f t="shared" si="10"/>
        <v>170</v>
      </c>
      <c r="N28" s="27">
        <f t="shared" si="10"/>
        <v>174</v>
      </c>
      <c r="O28" s="27">
        <f>N28</f>
        <v>174</v>
      </c>
    </row>
    <row r="29" spans="2:15" ht="13.5" customHeight="1" x14ac:dyDescent="0.2">
      <c r="B29" s="6" t="s">
        <v>76</v>
      </c>
      <c r="C29" s="29">
        <f t="shared" ref="C29:N29" si="11">C55</f>
        <v>12.2</v>
      </c>
      <c r="D29" s="29">
        <f t="shared" si="11"/>
        <v>12.25</v>
      </c>
      <c r="E29" s="29">
        <f t="shared" si="11"/>
        <v>12.3</v>
      </c>
      <c r="F29" s="29">
        <f t="shared" si="11"/>
        <v>12.35</v>
      </c>
      <c r="G29" s="29">
        <f t="shared" si="11"/>
        <v>12.4</v>
      </c>
      <c r="H29" s="29">
        <f t="shared" si="11"/>
        <v>12.45</v>
      </c>
      <c r="I29" s="29">
        <f t="shared" si="11"/>
        <v>12.5</v>
      </c>
      <c r="J29" s="29">
        <f t="shared" si="11"/>
        <v>12.55</v>
      </c>
      <c r="K29" s="29">
        <f t="shared" si="11"/>
        <v>12.6</v>
      </c>
      <c r="L29" s="29">
        <f t="shared" si="11"/>
        <v>12.65</v>
      </c>
      <c r="M29" s="29">
        <f t="shared" si="11"/>
        <v>12.7</v>
      </c>
      <c r="N29" s="29">
        <f t="shared" si="11"/>
        <v>12.75</v>
      </c>
      <c r="O29" s="29">
        <f>AVERAGE(C29:N29)</f>
        <v>12.475</v>
      </c>
    </row>
    <row r="30" spans="2:15" ht="13.5" customHeight="1" x14ac:dyDescent="0.2">
      <c r="B30" s="6" t="s">
        <v>77</v>
      </c>
      <c r="C30" s="40">
        <f>IF(C$6="Actual",C56,C28*C29*Assumptions!$F$20)</f>
        <v>1650</v>
      </c>
      <c r="D30" s="40">
        <f>IF(D$6="Actual",D56,D28*D29*Assumptions!$F$20)</f>
        <v>1690</v>
      </c>
      <c r="E30" s="40">
        <f>IF(E$6="Actual",E56,E28*E29*Assumptions!$F$20)</f>
        <v>1735</v>
      </c>
      <c r="F30" s="40">
        <f>IF(F$6="Actual",F56,F28*F29*Assumptions!$F$20)</f>
        <v>1785</v>
      </c>
      <c r="G30" s="40">
        <f>IF(G$6="Actual",G56,G28*G29*Assumptions!$F$20)</f>
        <v>1835</v>
      </c>
      <c r="H30" s="40">
        <f>IF(H$6="Actual",H56,H28*H29*Assumptions!$F$20)</f>
        <v>1890</v>
      </c>
      <c r="I30" s="40">
        <f>IF(I$6="Actual",I56,I28*I29*Assumptions!$F$20)</f>
        <v>1925</v>
      </c>
      <c r="J30" s="40">
        <f>IF(J$6="Actual",J56,J28*J29*Assumptions!$F$20)</f>
        <v>1982.9</v>
      </c>
      <c r="K30" s="40">
        <f>IF(K$6="Actual",K56,K28*K29*Assumptions!$F$20)</f>
        <v>2041.2</v>
      </c>
      <c r="L30" s="40">
        <f>IF(L$6="Actual",L56,L28*L29*Assumptions!$F$20)</f>
        <v>2099.9</v>
      </c>
      <c r="M30" s="40">
        <f>IF(M$6="Actual",M56,M28*M29*Assumptions!$F$20)</f>
        <v>2159</v>
      </c>
      <c r="N30" s="40">
        <f>IF(N$6="Actual",N56,N28*N29*Assumptions!$F$20)</f>
        <v>2218.5</v>
      </c>
      <c r="O30" s="29">
        <f t="shared" ref="O30:O33" si="12">SUM(C30:N30)</f>
        <v>23011.5</v>
      </c>
    </row>
    <row r="31" spans="2:15" ht="13.5" customHeight="1" x14ac:dyDescent="0.2">
      <c r="B31" s="6" t="s">
        <v>78</v>
      </c>
      <c r="C31" s="40">
        <f>IF(C$6="Actual",C57,C57*Assumptions!$F$21)</f>
        <v>720</v>
      </c>
      <c r="D31" s="40">
        <f>IF(D$6="Actual",D57,D57*Assumptions!$F$21)</f>
        <v>735</v>
      </c>
      <c r="E31" s="40">
        <f>IF(E$6="Actual",E57,E57*Assumptions!$F$21)</f>
        <v>750</v>
      </c>
      <c r="F31" s="40">
        <f>IF(F$6="Actual",F57,F57*Assumptions!$F$21)</f>
        <v>765</v>
      </c>
      <c r="G31" s="40">
        <f>IF(G$6="Actual",G57,G57*Assumptions!$F$21)</f>
        <v>780</v>
      </c>
      <c r="H31" s="40">
        <f>IF(H$6="Actual",H57,H57*Assumptions!$F$21)</f>
        <v>800</v>
      </c>
      <c r="I31" s="40">
        <f>IF(I$6="Actual",I57,I57*Assumptions!$F$21)</f>
        <v>820</v>
      </c>
      <c r="J31" s="40">
        <f>IF(J$6="Actual",J57,J57*Assumptions!$F$21)</f>
        <v>835</v>
      </c>
      <c r="K31" s="40">
        <f>IF(K$6="Actual",K57,K57*Assumptions!$F$21)</f>
        <v>850</v>
      </c>
      <c r="L31" s="40">
        <f>IF(L$6="Actual",L57,L57*Assumptions!$F$21)</f>
        <v>865</v>
      </c>
      <c r="M31" s="40">
        <f>IF(M$6="Actual",M57,M57*Assumptions!$F$21)</f>
        <v>880</v>
      </c>
      <c r="N31" s="40">
        <f>IF(N$6="Actual",N57,N57*Assumptions!$F$21)</f>
        <v>900</v>
      </c>
      <c r="O31" s="29">
        <f t="shared" si="12"/>
        <v>9700</v>
      </c>
    </row>
    <row r="32" spans="2:15" ht="13.5" customHeight="1" x14ac:dyDescent="0.2">
      <c r="B32" s="32" t="s">
        <v>79</v>
      </c>
      <c r="C32" s="33">
        <f t="shared" ref="C32:N32" si="13">SUM(C30:C31)</f>
        <v>2370</v>
      </c>
      <c r="D32" s="33">
        <f t="shared" si="13"/>
        <v>2425</v>
      </c>
      <c r="E32" s="33">
        <f t="shared" si="13"/>
        <v>2485</v>
      </c>
      <c r="F32" s="33">
        <f t="shared" si="13"/>
        <v>2550</v>
      </c>
      <c r="G32" s="33">
        <f t="shared" si="13"/>
        <v>2615</v>
      </c>
      <c r="H32" s="33">
        <f t="shared" si="13"/>
        <v>2690</v>
      </c>
      <c r="I32" s="33">
        <f t="shared" si="13"/>
        <v>2745</v>
      </c>
      <c r="J32" s="33">
        <f t="shared" si="13"/>
        <v>2817.9</v>
      </c>
      <c r="K32" s="33">
        <f t="shared" si="13"/>
        <v>2891.2</v>
      </c>
      <c r="L32" s="33">
        <f t="shared" si="13"/>
        <v>2964.9</v>
      </c>
      <c r="M32" s="33">
        <f t="shared" si="13"/>
        <v>3039</v>
      </c>
      <c r="N32" s="33">
        <f t="shared" si="13"/>
        <v>3118.5</v>
      </c>
      <c r="O32" s="33">
        <f t="shared" si="12"/>
        <v>32711.500000000004</v>
      </c>
    </row>
    <row r="33" spans="2:15" ht="13.5" customHeight="1" x14ac:dyDescent="0.2">
      <c r="B33" s="74" t="s">
        <v>119</v>
      </c>
      <c r="C33" s="75">
        <f t="shared" ref="C33:N33" si="14">ABS(C32-SUM(C30:C31))</f>
        <v>0</v>
      </c>
      <c r="D33" s="75">
        <f t="shared" si="14"/>
        <v>0</v>
      </c>
      <c r="E33" s="75">
        <f t="shared" si="14"/>
        <v>0</v>
      </c>
      <c r="F33" s="75">
        <f t="shared" si="14"/>
        <v>0</v>
      </c>
      <c r="G33" s="75">
        <f t="shared" si="14"/>
        <v>0</v>
      </c>
      <c r="H33" s="75">
        <f t="shared" si="14"/>
        <v>0</v>
      </c>
      <c r="I33" s="75">
        <f t="shared" si="14"/>
        <v>0</v>
      </c>
      <c r="J33" s="75">
        <f t="shared" si="14"/>
        <v>0</v>
      </c>
      <c r="K33" s="75">
        <f t="shared" si="14"/>
        <v>0</v>
      </c>
      <c r="L33" s="75">
        <f t="shared" si="14"/>
        <v>0</v>
      </c>
      <c r="M33" s="75">
        <f t="shared" si="14"/>
        <v>0</v>
      </c>
      <c r="N33" s="75">
        <f t="shared" si="14"/>
        <v>0</v>
      </c>
      <c r="O33" s="75">
        <f t="shared" si="12"/>
        <v>0</v>
      </c>
    </row>
    <row r="34" spans="2:15" ht="13.5" customHeight="1" x14ac:dyDescent="0.2">
      <c r="B34" s="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" ht="13.5" customHeight="1" x14ac:dyDescent="0.2">
      <c r="B35" s="92" t="s">
        <v>80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6"/>
    </row>
    <row r="36" spans="2:15" ht="13.5" customHeight="1" x14ac:dyDescent="0.2">
      <c r="B36" s="6" t="s">
        <v>60</v>
      </c>
      <c r="C36" s="30">
        <f>IF(C$6="Actual",C59,Assumptions!$F$23)</f>
        <v>0.71</v>
      </c>
      <c r="D36" s="30">
        <f>IF(D$6="Actual",D59,Assumptions!$F$23)</f>
        <v>0.71499999999999997</v>
      </c>
      <c r="E36" s="30">
        <f>IF(E$6="Actual",E59,Assumptions!$F$23)</f>
        <v>0.71799999999999997</v>
      </c>
      <c r="F36" s="30">
        <f>IF(F$6="Actual",F59,Assumptions!$F$23)</f>
        <v>0.72</v>
      </c>
      <c r="G36" s="30">
        <f>IF(G$6="Actual",G59,Assumptions!$F$23)</f>
        <v>0.72299999999999998</v>
      </c>
      <c r="H36" s="30">
        <f>IF(H$6="Actual",H59,Assumptions!$F$23)</f>
        <v>0.72499999999999998</v>
      </c>
      <c r="I36" s="30">
        <f>IF(I$6="Actual",I59,Assumptions!$F$23)</f>
        <v>0.72</v>
      </c>
      <c r="J36" s="30">
        <f>IF(J$6="Actual",J59,Assumptions!$F$23)</f>
        <v>0.72</v>
      </c>
      <c r="K36" s="30">
        <f>IF(K$6="Actual",K59,Assumptions!$F$23)</f>
        <v>0.72</v>
      </c>
      <c r="L36" s="30">
        <f>IF(L$6="Actual",L59,Assumptions!$F$23)</f>
        <v>0.72</v>
      </c>
      <c r="M36" s="30">
        <f>IF(M$6="Actual",M59,Assumptions!$F$23)</f>
        <v>0.72</v>
      </c>
      <c r="N36" s="30">
        <f>IF(N$6="Actual",N59,Assumptions!$F$23)</f>
        <v>0.72</v>
      </c>
      <c r="O36" s="31">
        <f>AVERAGE(C36:N36)</f>
        <v>0.71924999999999983</v>
      </c>
    </row>
    <row r="37" spans="2:15" ht="13.5" customHeight="1" x14ac:dyDescent="0.2">
      <c r="B37" s="6" t="s">
        <v>81</v>
      </c>
      <c r="C37" s="29">
        <f t="shared" ref="C37:N37" si="15">C15*C36</f>
        <v>1107.5999999999999</v>
      </c>
      <c r="D37" s="29">
        <f t="shared" si="15"/>
        <v>1165.45</v>
      </c>
      <c r="E37" s="29">
        <f t="shared" si="15"/>
        <v>1209.83</v>
      </c>
      <c r="F37" s="29">
        <f t="shared" si="15"/>
        <v>1260</v>
      </c>
      <c r="G37" s="29">
        <f t="shared" si="15"/>
        <v>1323.09</v>
      </c>
      <c r="H37" s="29">
        <f t="shared" si="15"/>
        <v>1388.375</v>
      </c>
      <c r="I37" s="29">
        <f t="shared" si="15"/>
        <v>1324.8575999999998</v>
      </c>
      <c r="J37" s="29">
        <f t="shared" si="15"/>
        <v>1324.8575999999998</v>
      </c>
      <c r="K37" s="29">
        <f t="shared" si="15"/>
        <v>1344.9311999999998</v>
      </c>
      <c r="L37" s="29">
        <f t="shared" si="15"/>
        <v>1344.9311999999998</v>
      </c>
      <c r="M37" s="29">
        <f t="shared" si="15"/>
        <v>1365.0047999999999</v>
      </c>
      <c r="N37" s="29">
        <f t="shared" si="15"/>
        <v>1365.0047999999999</v>
      </c>
      <c r="O37" s="29">
        <f t="shared" ref="O37:O40" si="16">SUM(C37:N37)</f>
        <v>15523.932199999999</v>
      </c>
    </row>
    <row r="38" spans="2:15" ht="13.5" customHeight="1" x14ac:dyDescent="0.2">
      <c r="B38" s="6" t="s">
        <v>15</v>
      </c>
      <c r="C38" s="29">
        <f t="shared" ref="C38:N38" si="17">C37-C32</f>
        <v>-1262.4000000000001</v>
      </c>
      <c r="D38" s="29">
        <f t="shared" si="17"/>
        <v>-1259.55</v>
      </c>
      <c r="E38" s="29">
        <f t="shared" si="17"/>
        <v>-1275.17</v>
      </c>
      <c r="F38" s="29">
        <f t="shared" si="17"/>
        <v>-1290</v>
      </c>
      <c r="G38" s="29">
        <f t="shared" si="17"/>
        <v>-1291.9100000000001</v>
      </c>
      <c r="H38" s="29">
        <f t="shared" si="17"/>
        <v>-1301.625</v>
      </c>
      <c r="I38" s="29">
        <f t="shared" si="17"/>
        <v>-1420.1424000000002</v>
      </c>
      <c r="J38" s="29">
        <f t="shared" si="17"/>
        <v>-1493.0424000000003</v>
      </c>
      <c r="K38" s="29">
        <f t="shared" si="17"/>
        <v>-1546.2688000000001</v>
      </c>
      <c r="L38" s="29">
        <f t="shared" si="17"/>
        <v>-1619.9688000000003</v>
      </c>
      <c r="M38" s="29">
        <f t="shared" si="17"/>
        <v>-1673.9952000000001</v>
      </c>
      <c r="N38" s="29">
        <f t="shared" si="17"/>
        <v>-1753.4952000000001</v>
      </c>
      <c r="O38" s="29">
        <f t="shared" si="16"/>
        <v>-17187.567800000001</v>
      </c>
    </row>
    <row r="39" spans="2:15" ht="13.5" customHeight="1" x14ac:dyDescent="0.2">
      <c r="B39" s="6" t="s">
        <v>82</v>
      </c>
      <c r="C39" s="40">
        <f>IF(C$6="Actual",C58,C58*Assumptions!$F$22)</f>
        <v>180</v>
      </c>
      <c r="D39" s="40">
        <f>IF(D$6="Actual",D58,D58*Assumptions!$F$22)</f>
        <v>185</v>
      </c>
      <c r="E39" s="40">
        <f>IF(E$6="Actual",E58,E58*Assumptions!$F$22)</f>
        <v>190</v>
      </c>
      <c r="F39" s="40">
        <f>IF(F$6="Actual",F58,F58*Assumptions!$F$22)</f>
        <v>195</v>
      </c>
      <c r="G39" s="40">
        <f>IF(G$6="Actual",G58,G58*Assumptions!$F$22)</f>
        <v>200</v>
      </c>
      <c r="H39" s="40">
        <f>IF(H$6="Actual",H58,H58*Assumptions!$F$22)</f>
        <v>210</v>
      </c>
      <c r="I39" s="40">
        <f>IF(I$6="Actual",I58,I58*Assumptions!$F$22)</f>
        <v>220</v>
      </c>
      <c r="J39" s="40">
        <f>IF(J$6="Actual",J58,J58*Assumptions!$F$22)</f>
        <v>225</v>
      </c>
      <c r="K39" s="40">
        <f>IF(K$6="Actual",K58,K58*Assumptions!$F$22)</f>
        <v>230</v>
      </c>
      <c r="L39" s="40">
        <f>IF(L$6="Actual",L58,L58*Assumptions!$F$22)</f>
        <v>235</v>
      </c>
      <c r="M39" s="40">
        <f>IF(M$6="Actual",M58,M58*Assumptions!$F$22)</f>
        <v>240</v>
      </c>
      <c r="N39" s="40">
        <f>IF(N$6="Actual",N58,N58*Assumptions!$F$22)</f>
        <v>250</v>
      </c>
      <c r="O39" s="29">
        <f t="shared" si="16"/>
        <v>2560</v>
      </c>
    </row>
    <row r="40" spans="2:15" ht="13.5" customHeight="1" x14ac:dyDescent="0.2">
      <c r="B40" s="6" t="s">
        <v>83</v>
      </c>
      <c r="C40" s="29">
        <f t="shared" ref="C40:N40" si="18">C38-C39</f>
        <v>-1442.4</v>
      </c>
      <c r="D40" s="29">
        <f t="shared" si="18"/>
        <v>-1444.55</v>
      </c>
      <c r="E40" s="29">
        <f t="shared" si="18"/>
        <v>-1465.17</v>
      </c>
      <c r="F40" s="29">
        <f t="shared" si="18"/>
        <v>-1485</v>
      </c>
      <c r="G40" s="29">
        <f t="shared" si="18"/>
        <v>-1491.91</v>
      </c>
      <c r="H40" s="29">
        <f t="shared" si="18"/>
        <v>-1511.625</v>
      </c>
      <c r="I40" s="29">
        <f t="shared" si="18"/>
        <v>-1640.1424000000002</v>
      </c>
      <c r="J40" s="29">
        <f t="shared" si="18"/>
        <v>-1718.0424000000003</v>
      </c>
      <c r="K40" s="29">
        <f t="shared" si="18"/>
        <v>-1776.2688000000001</v>
      </c>
      <c r="L40" s="29">
        <f t="shared" si="18"/>
        <v>-1854.9688000000003</v>
      </c>
      <c r="M40" s="29">
        <f t="shared" si="18"/>
        <v>-1913.9952000000001</v>
      </c>
      <c r="N40" s="29">
        <f t="shared" si="18"/>
        <v>-2003.4952000000001</v>
      </c>
      <c r="O40" s="29">
        <f t="shared" si="16"/>
        <v>-19747.567800000001</v>
      </c>
    </row>
    <row r="41" spans="2:15" ht="13.5" customHeight="1" x14ac:dyDescent="0.2">
      <c r="B41" s="6" t="s">
        <v>84</v>
      </c>
      <c r="C41" s="40">
        <f>Assumptions!$C$9</f>
        <v>32000</v>
      </c>
      <c r="D41" s="29">
        <f t="shared" ref="D41:N41" si="19">C42</f>
        <v>30557.599999999999</v>
      </c>
      <c r="E41" s="29">
        <f t="shared" si="19"/>
        <v>29113.05</v>
      </c>
      <c r="F41" s="29">
        <f t="shared" si="19"/>
        <v>27647.879999999997</v>
      </c>
      <c r="G41" s="29">
        <f t="shared" si="19"/>
        <v>26162.879999999997</v>
      </c>
      <c r="H41" s="29">
        <f t="shared" si="19"/>
        <v>24670.969999999998</v>
      </c>
      <c r="I41" s="29">
        <f t="shared" si="19"/>
        <v>23159.344999999998</v>
      </c>
      <c r="J41" s="29">
        <f t="shared" si="19"/>
        <v>21519.202599999997</v>
      </c>
      <c r="K41" s="29">
        <f t="shared" si="19"/>
        <v>19801.160199999998</v>
      </c>
      <c r="L41" s="29">
        <f t="shared" si="19"/>
        <v>18024.891399999997</v>
      </c>
      <c r="M41" s="29">
        <f t="shared" si="19"/>
        <v>16169.922599999996</v>
      </c>
      <c r="N41" s="29">
        <f t="shared" si="19"/>
        <v>14255.927399999997</v>
      </c>
      <c r="O41" s="29">
        <f>C41</f>
        <v>32000</v>
      </c>
    </row>
    <row r="42" spans="2:15" ht="13.5" customHeight="1" x14ac:dyDescent="0.2">
      <c r="B42" s="39" t="s">
        <v>16</v>
      </c>
      <c r="C42" s="33">
        <f t="shared" ref="C42:N42" si="20">C41+C40</f>
        <v>30557.599999999999</v>
      </c>
      <c r="D42" s="33">
        <f t="shared" si="20"/>
        <v>29113.05</v>
      </c>
      <c r="E42" s="33">
        <f t="shared" si="20"/>
        <v>27647.879999999997</v>
      </c>
      <c r="F42" s="33">
        <f t="shared" si="20"/>
        <v>26162.879999999997</v>
      </c>
      <c r="G42" s="33">
        <f t="shared" si="20"/>
        <v>24670.969999999998</v>
      </c>
      <c r="H42" s="33">
        <f t="shared" si="20"/>
        <v>23159.344999999998</v>
      </c>
      <c r="I42" s="33">
        <f t="shared" si="20"/>
        <v>21519.202599999997</v>
      </c>
      <c r="J42" s="33">
        <f t="shared" si="20"/>
        <v>19801.160199999998</v>
      </c>
      <c r="K42" s="33">
        <f t="shared" si="20"/>
        <v>18024.891399999997</v>
      </c>
      <c r="L42" s="33">
        <f t="shared" si="20"/>
        <v>16169.922599999996</v>
      </c>
      <c r="M42" s="33">
        <f t="shared" si="20"/>
        <v>14255.927399999997</v>
      </c>
      <c r="N42" s="33">
        <f t="shared" si="20"/>
        <v>12252.432199999997</v>
      </c>
      <c r="O42" s="33">
        <f t="shared" ref="O42:O43" si="21">N42</f>
        <v>12252.432199999997</v>
      </c>
    </row>
    <row r="43" spans="2:15" ht="13.5" customHeight="1" x14ac:dyDescent="0.2">
      <c r="B43" s="41" t="s">
        <v>85</v>
      </c>
      <c r="C43" s="42">
        <f t="shared" ref="C43:N43" si="22">IF(AVERAGE($I$40:$N$40)&gt;=0,36,MIN(36,C42/ABS(AVERAGE($I$40:$N$40))))</f>
        <v>16.810036291846028</v>
      </c>
      <c r="D43" s="42">
        <f t="shared" si="22"/>
        <v>16.015375129798414</v>
      </c>
      <c r="E43" s="42">
        <f t="shared" si="22"/>
        <v>15.20937070295455</v>
      </c>
      <c r="F43" s="42">
        <f t="shared" si="22"/>
        <v>14.392457598084032</v>
      </c>
      <c r="G43" s="42">
        <f t="shared" si="22"/>
        <v>13.57174323425415</v>
      </c>
      <c r="H43" s="42">
        <f t="shared" si="22"/>
        <v>12.74018345502863</v>
      </c>
      <c r="I43" s="42">
        <f t="shared" si="22"/>
        <v>11.837924990103522</v>
      </c>
      <c r="J43" s="42">
        <f t="shared" si="22"/>
        <v>10.892812969037397</v>
      </c>
      <c r="K43" s="42">
        <f t="shared" si="22"/>
        <v>9.9156700326787224</v>
      </c>
      <c r="L43" s="42">
        <f t="shared" si="22"/>
        <v>8.8952334523110856</v>
      </c>
      <c r="M43" s="42">
        <f t="shared" si="22"/>
        <v>7.8423258687829591</v>
      </c>
      <c r="N43" s="42">
        <f t="shared" si="22"/>
        <v>6.7401834550286299</v>
      </c>
      <c r="O43" s="42">
        <f t="shared" si="21"/>
        <v>6.7401834550286299</v>
      </c>
    </row>
    <row r="44" spans="2:15" ht="13.5" customHeight="1" x14ac:dyDescent="0.2">
      <c r="B44" s="74" t="s">
        <v>119</v>
      </c>
      <c r="C44" s="75">
        <f t="shared" ref="C44:N44" si="23">ABS(C42-(C41+C40))</f>
        <v>0</v>
      </c>
      <c r="D44" s="75">
        <f t="shared" si="23"/>
        <v>0</v>
      </c>
      <c r="E44" s="75">
        <f t="shared" si="23"/>
        <v>0</v>
      </c>
      <c r="F44" s="75">
        <f t="shared" si="23"/>
        <v>0</v>
      </c>
      <c r="G44" s="75">
        <f t="shared" si="23"/>
        <v>0</v>
      </c>
      <c r="H44" s="75">
        <f t="shared" si="23"/>
        <v>0</v>
      </c>
      <c r="I44" s="75">
        <f t="shared" si="23"/>
        <v>0</v>
      </c>
      <c r="J44" s="75">
        <f t="shared" si="23"/>
        <v>0</v>
      </c>
      <c r="K44" s="75">
        <f t="shared" si="23"/>
        <v>0</v>
      </c>
      <c r="L44" s="75">
        <f t="shared" si="23"/>
        <v>0</v>
      </c>
      <c r="M44" s="75">
        <f t="shared" si="23"/>
        <v>0</v>
      </c>
      <c r="N44" s="75">
        <f t="shared" si="23"/>
        <v>0</v>
      </c>
      <c r="O44" s="75">
        <f>SUM(C44:N44)</f>
        <v>0</v>
      </c>
    </row>
    <row r="45" spans="2:15" ht="13.5" customHeight="1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3.5" customHeight="1" x14ac:dyDescent="0.2">
      <c r="B46" s="92" t="s">
        <v>86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6"/>
    </row>
    <row r="47" spans="2:15" ht="13.5" customHeight="1" x14ac:dyDescent="0.2">
      <c r="B47" s="6" t="s">
        <v>87</v>
      </c>
      <c r="C47" s="43">
        <v>18</v>
      </c>
      <c r="D47" s="43">
        <v>18</v>
      </c>
      <c r="E47" s="43">
        <v>19</v>
      </c>
      <c r="F47" s="43">
        <v>19</v>
      </c>
      <c r="G47" s="43">
        <v>20</v>
      </c>
      <c r="H47" s="43">
        <v>20</v>
      </c>
      <c r="I47" s="43">
        <v>21</v>
      </c>
      <c r="J47" s="43">
        <v>21</v>
      </c>
      <c r="K47" s="43">
        <v>22</v>
      </c>
      <c r="L47" s="43">
        <v>22</v>
      </c>
      <c r="M47" s="43">
        <v>23</v>
      </c>
      <c r="N47" s="43">
        <v>23</v>
      </c>
      <c r="O47" s="6"/>
    </row>
    <row r="48" spans="2:15" ht="13.5" customHeight="1" x14ac:dyDescent="0.2">
      <c r="B48" s="6" t="s">
        <v>68</v>
      </c>
      <c r="C48" s="44">
        <v>125</v>
      </c>
      <c r="D48" s="44">
        <v>125</v>
      </c>
      <c r="E48" s="44">
        <v>128</v>
      </c>
      <c r="F48" s="44">
        <v>128</v>
      </c>
      <c r="G48" s="44">
        <v>130</v>
      </c>
      <c r="H48" s="44">
        <v>130</v>
      </c>
      <c r="I48" s="44">
        <v>132</v>
      </c>
      <c r="J48" s="44">
        <v>132</v>
      </c>
      <c r="K48" s="44">
        <v>134</v>
      </c>
      <c r="L48" s="44">
        <v>134</v>
      </c>
      <c r="M48" s="44">
        <v>136</v>
      </c>
      <c r="N48" s="44">
        <v>136</v>
      </c>
      <c r="O48" s="6"/>
    </row>
    <row r="49" spans="2:15" ht="13.5" customHeight="1" x14ac:dyDescent="0.2">
      <c r="B49" s="6" t="s">
        <v>88</v>
      </c>
      <c r="C49" s="45">
        <v>0.82</v>
      </c>
      <c r="D49" s="45">
        <v>0.85</v>
      </c>
      <c r="E49" s="45">
        <v>0.8</v>
      </c>
      <c r="F49" s="45">
        <v>0.88</v>
      </c>
      <c r="G49" s="45">
        <v>0.9</v>
      </c>
      <c r="H49" s="45">
        <v>0.87</v>
      </c>
      <c r="I49" s="45"/>
      <c r="J49" s="45"/>
      <c r="K49" s="45"/>
      <c r="L49" s="45"/>
      <c r="M49" s="45"/>
      <c r="N49" s="45"/>
      <c r="O49" s="6"/>
    </row>
    <row r="50" spans="2:15" ht="13.5" customHeight="1" x14ac:dyDescent="0.2">
      <c r="B50" s="6" t="s">
        <v>89</v>
      </c>
      <c r="C50" s="44">
        <v>1845</v>
      </c>
      <c r="D50" s="44">
        <v>1913</v>
      </c>
      <c r="E50" s="44">
        <v>1946</v>
      </c>
      <c r="F50" s="44">
        <v>2140</v>
      </c>
      <c r="G50" s="44">
        <v>2340</v>
      </c>
      <c r="H50" s="44">
        <v>2262</v>
      </c>
      <c r="I50" s="44"/>
      <c r="J50" s="44"/>
      <c r="K50" s="44"/>
      <c r="L50" s="44"/>
      <c r="M50" s="44"/>
      <c r="N50" s="44"/>
      <c r="O50" s="6"/>
    </row>
    <row r="51" spans="2:15" ht="13.5" customHeight="1" x14ac:dyDescent="0.2">
      <c r="B51" s="6" t="s">
        <v>90</v>
      </c>
      <c r="C51" s="44">
        <v>1560</v>
      </c>
      <c r="D51" s="44">
        <v>1630</v>
      </c>
      <c r="E51" s="44">
        <v>1685</v>
      </c>
      <c r="F51" s="44">
        <v>1750</v>
      </c>
      <c r="G51" s="44">
        <v>1830</v>
      </c>
      <c r="H51" s="44">
        <v>1915</v>
      </c>
      <c r="I51" s="44"/>
      <c r="J51" s="44"/>
      <c r="K51" s="44"/>
      <c r="L51" s="44"/>
      <c r="M51" s="44"/>
      <c r="N51" s="44"/>
      <c r="O51" s="6"/>
    </row>
    <row r="52" spans="2:15" ht="13.5" customHeight="1" x14ac:dyDescent="0.2">
      <c r="B52" s="6" t="s">
        <v>91</v>
      </c>
      <c r="C52" s="43">
        <v>16</v>
      </c>
      <c r="D52" s="43">
        <v>17</v>
      </c>
      <c r="E52" s="43">
        <v>18</v>
      </c>
      <c r="F52" s="43">
        <v>19</v>
      </c>
      <c r="G52" s="43">
        <v>20</v>
      </c>
      <c r="H52" s="43">
        <v>21</v>
      </c>
      <c r="I52" s="43"/>
      <c r="J52" s="43"/>
      <c r="K52" s="43"/>
      <c r="L52" s="43"/>
      <c r="M52" s="43"/>
      <c r="N52" s="43"/>
      <c r="O52" s="6"/>
    </row>
    <row r="53" spans="2:15" ht="13.5" customHeight="1" x14ac:dyDescent="0.2">
      <c r="B53" s="6" t="s">
        <v>92</v>
      </c>
      <c r="C53" s="45">
        <v>1.2999999999999999E-2</v>
      </c>
      <c r="D53" s="45">
        <v>1.2E-2</v>
      </c>
      <c r="E53" s="45">
        <v>1.2E-2</v>
      </c>
      <c r="F53" s="45">
        <v>1.0999999999999999E-2</v>
      </c>
      <c r="G53" s="45">
        <v>1.0999999999999999E-2</v>
      </c>
      <c r="H53" s="45">
        <v>0.01</v>
      </c>
      <c r="I53" s="45"/>
      <c r="J53" s="45"/>
      <c r="K53" s="45"/>
      <c r="L53" s="45"/>
      <c r="M53" s="45"/>
      <c r="N53" s="45"/>
      <c r="O53" s="6"/>
    </row>
    <row r="54" spans="2:15" ht="13.5" customHeight="1" x14ac:dyDescent="0.2">
      <c r="B54" s="6" t="s">
        <v>93</v>
      </c>
      <c r="C54" s="43">
        <v>135</v>
      </c>
      <c r="D54" s="43">
        <v>138</v>
      </c>
      <c r="E54" s="43">
        <v>140</v>
      </c>
      <c r="F54" s="43">
        <v>143</v>
      </c>
      <c r="G54" s="43">
        <v>146</v>
      </c>
      <c r="H54" s="43">
        <v>150</v>
      </c>
      <c r="I54" s="43">
        <v>154</v>
      </c>
      <c r="J54" s="43">
        <v>158</v>
      </c>
      <c r="K54" s="43">
        <v>162</v>
      </c>
      <c r="L54" s="43">
        <v>166</v>
      </c>
      <c r="M54" s="43">
        <v>170</v>
      </c>
      <c r="N54" s="43">
        <v>174</v>
      </c>
      <c r="O54" s="6"/>
    </row>
    <row r="55" spans="2:15" ht="13.5" customHeight="1" x14ac:dyDescent="0.2">
      <c r="B55" s="6" t="s">
        <v>76</v>
      </c>
      <c r="C55" s="44">
        <v>12.2</v>
      </c>
      <c r="D55" s="44">
        <v>12.25</v>
      </c>
      <c r="E55" s="44">
        <v>12.3</v>
      </c>
      <c r="F55" s="44">
        <v>12.35</v>
      </c>
      <c r="G55" s="44">
        <v>12.4</v>
      </c>
      <c r="H55" s="44">
        <v>12.45</v>
      </c>
      <c r="I55" s="44">
        <v>12.5</v>
      </c>
      <c r="J55" s="44">
        <v>12.55</v>
      </c>
      <c r="K55" s="44">
        <v>12.6</v>
      </c>
      <c r="L55" s="44">
        <v>12.65</v>
      </c>
      <c r="M55" s="44">
        <v>12.7</v>
      </c>
      <c r="N55" s="44">
        <v>12.75</v>
      </c>
      <c r="O55" s="6"/>
    </row>
    <row r="56" spans="2:15" ht="13.5" customHeight="1" x14ac:dyDescent="0.2">
      <c r="B56" s="6" t="s">
        <v>94</v>
      </c>
      <c r="C56" s="44">
        <v>1650</v>
      </c>
      <c r="D56" s="44">
        <v>1690</v>
      </c>
      <c r="E56" s="44">
        <v>1735</v>
      </c>
      <c r="F56" s="44">
        <v>1785</v>
      </c>
      <c r="G56" s="44">
        <v>1835</v>
      </c>
      <c r="H56" s="44">
        <v>1890</v>
      </c>
      <c r="I56" s="44"/>
      <c r="J56" s="44"/>
      <c r="K56" s="44"/>
      <c r="L56" s="44"/>
      <c r="M56" s="44"/>
      <c r="N56" s="44"/>
      <c r="O56" s="6"/>
    </row>
    <row r="57" spans="2:15" ht="13.5" customHeight="1" x14ac:dyDescent="0.2">
      <c r="B57" s="6" t="s">
        <v>95</v>
      </c>
      <c r="C57" s="44">
        <v>720</v>
      </c>
      <c r="D57" s="44">
        <v>735</v>
      </c>
      <c r="E57" s="44">
        <v>750</v>
      </c>
      <c r="F57" s="44">
        <v>765</v>
      </c>
      <c r="G57" s="44">
        <v>780</v>
      </c>
      <c r="H57" s="44">
        <v>800</v>
      </c>
      <c r="I57" s="44">
        <v>820</v>
      </c>
      <c r="J57" s="44">
        <v>835</v>
      </c>
      <c r="K57" s="44">
        <v>850</v>
      </c>
      <c r="L57" s="44">
        <v>865</v>
      </c>
      <c r="M57" s="44">
        <v>880</v>
      </c>
      <c r="N57" s="44">
        <v>900</v>
      </c>
      <c r="O57" s="6"/>
    </row>
    <row r="58" spans="2:15" ht="13.5" customHeight="1" x14ac:dyDescent="0.2">
      <c r="B58" s="6" t="s">
        <v>96</v>
      </c>
      <c r="C58" s="44">
        <v>180</v>
      </c>
      <c r="D58" s="44">
        <v>185</v>
      </c>
      <c r="E58" s="44">
        <v>190</v>
      </c>
      <c r="F58" s="44">
        <v>195</v>
      </c>
      <c r="G58" s="44">
        <v>200</v>
      </c>
      <c r="H58" s="44">
        <v>210</v>
      </c>
      <c r="I58" s="44">
        <v>220</v>
      </c>
      <c r="J58" s="44">
        <v>225</v>
      </c>
      <c r="K58" s="44">
        <v>230</v>
      </c>
      <c r="L58" s="44">
        <v>235</v>
      </c>
      <c r="M58" s="44">
        <v>240</v>
      </c>
      <c r="N58" s="44">
        <v>250</v>
      </c>
      <c r="O58" s="6"/>
    </row>
    <row r="59" spans="2:15" ht="13.5" customHeight="1" x14ac:dyDescent="0.2">
      <c r="B59" s="6" t="s">
        <v>97</v>
      </c>
      <c r="C59" s="45">
        <v>0.71</v>
      </c>
      <c r="D59" s="45">
        <v>0.71499999999999997</v>
      </c>
      <c r="E59" s="45">
        <v>0.71799999999999997</v>
      </c>
      <c r="F59" s="45">
        <v>0.72</v>
      </c>
      <c r="G59" s="45">
        <v>0.72299999999999998</v>
      </c>
      <c r="H59" s="45">
        <v>0.72499999999999998</v>
      </c>
      <c r="I59" s="45"/>
      <c r="J59" s="45"/>
      <c r="K59" s="45"/>
      <c r="L59" s="45"/>
      <c r="M59" s="45"/>
      <c r="N59" s="45"/>
      <c r="O59" s="6"/>
    </row>
    <row r="60" spans="2:15" ht="13.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ht="13.5" customHeight="1" x14ac:dyDescent="0.2"/>
    <row r="62" spans="2:15" ht="13.5" customHeight="1" x14ac:dyDescent="0.2"/>
    <row r="63" spans="2:15" ht="13.5" customHeight="1" x14ac:dyDescent="0.2"/>
    <row r="64" spans="2:15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</sheetData>
  <mergeCells count="6">
    <mergeCell ref="B35:O35"/>
    <mergeCell ref="B46:O46"/>
    <mergeCell ref="O5:O6"/>
    <mergeCell ref="B8:O8"/>
    <mergeCell ref="B17:O17"/>
    <mergeCell ref="B26:O26"/>
  </mergeCells>
  <conditionalFormatting sqref="C6:N6">
    <cfRule type="containsText" dxfId="7" priority="1" operator="containsText" text="Actual">
      <formula>NOT(ISERROR(SEARCH(("Actual"),(C6))))</formula>
    </cfRule>
    <cfRule type="containsText" dxfId="6" priority="2" operator="containsText" text="Forecast">
      <formula>NOT(ISERROR(SEARCH(("Forecast"),(C6))))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001"/>
  <sheetViews>
    <sheetView showGridLines="0" workbookViewId="0">
      <selection activeCell="C31" sqref="C31"/>
    </sheetView>
  </sheetViews>
  <sheetFormatPr baseColWidth="10" defaultColWidth="12.6640625" defaultRowHeight="15" customHeight="1" x14ac:dyDescent="0.2"/>
  <cols>
    <col min="1" max="1" width="3.33203125" customWidth="1"/>
    <col min="2" max="2" width="31" customWidth="1"/>
    <col min="3" max="3" width="18" customWidth="1"/>
    <col min="4" max="4" width="16" customWidth="1"/>
    <col min="5" max="5" width="14" customWidth="1"/>
    <col min="6" max="6" width="39" customWidth="1"/>
    <col min="7" max="27" width="8.83203125" customWidth="1"/>
  </cols>
  <sheetData>
    <row r="2" spans="2:6" ht="25.5" customHeight="1" x14ac:dyDescent="0.2">
      <c r="B2" s="95" t="s">
        <v>0</v>
      </c>
      <c r="C2" s="81"/>
      <c r="D2" s="82"/>
      <c r="E2" s="96"/>
      <c r="F2" s="82"/>
    </row>
    <row r="3" spans="2:6" ht="24" customHeight="1" x14ac:dyDescent="0.2">
      <c r="B3" s="51" t="s">
        <v>118</v>
      </c>
      <c r="C3" s="51"/>
      <c r="D3" s="51"/>
      <c r="E3" s="51"/>
      <c r="F3" s="51"/>
    </row>
    <row r="4" spans="2:6" ht="13.5" customHeight="1" x14ac:dyDescent="0.2">
      <c r="B4" s="1"/>
      <c r="C4" s="1"/>
      <c r="D4" s="1"/>
      <c r="E4" s="1"/>
      <c r="F4" s="1"/>
    </row>
    <row r="5" spans="2:6" ht="13.5" customHeight="1" x14ac:dyDescent="0.2">
      <c r="B5" s="46" t="s">
        <v>98</v>
      </c>
      <c r="C5" s="47" t="str">
        <f>IF(COUNTIF(E8:E13,"FAIL")&gt;0,"FAIL",IF(COUNTIF(E8:E13,"WATCH")&gt;0,"WATCH","PASS"))</f>
        <v>PASS</v>
      </c>
      <c r="D5" s="1"/>
      <c r="E5" s="1"/>
      <c r="F5" s="1"/>
    </row>
    <row r="6" spans="2:6" ht="13.5" customHeight="1" x14ac:dyDescent="0.2">
      <c r="B6" s="1"/>
      <c r="C6" s="1"/>
      <c r="D6" s="1"/>
      <c r="E6" s="1"/>
      <c r="F6" s="1"/>
    </row>
    <row r="7" spans="2:6" ht="27.75" customHeight="1" x14ac:dyDescent="0.2">
      <c r="B7" s="48" t="s">
        <v>99</v>
      </c>
      <c r="C7" s="48" t="s">
        <v>100</v>
      </c>
      <c r="D7" s="48" t="s">
        <v>101</v>
      </c>
      <c r="E7" s="48" t="s">
        <v>102</v>
      </c>
      <c r="F7" s="48" t="s">
        <v>103</v>
      </c>
    </row>
    <row r="8" spans="2:6" ht="13.5" customHeight="1" x14ac:dyDescent="0.2">
      <c r="B8" s="18" t="s">
        <v>104</v>
      </c>
      <c r="C8" s="66">
        <f>SUM('Op Build'!C24:N24)</f>
        <v>0</v>
      </c>
      <c r="D8" s="66">
        <v>1E-3</v>
      </c>
      <c r="E8" s="69" t="str">
        <f t="shared" ref="E8:E10" si="0">IF(C8&lt;=D8,"PASS","FAIL")</f>
        <v>PASS</v>
      </c>
      <c r="F8" s="18" t="s">
        <v>105</v>
      </c>
    </row>
    <row r="9" spans="2:6" ht="13.5" customHeight="1" x14ac:dyDescent="0.2">
      <c r="B9" s="18" t="s">
        <v>106</v>
      </c>
      <c r="C9" s="66">
        <f>SUM('Op Build'!C33:N33)</f>
        <v>0</v>
      </c>
      <c r="D9" s="66">
        <v>1E-3</v>
      </c>
      <c r="E9" s="69" t="str">
        <f t="shared" si="0"/>
        <v>PASS</v>
      </c>
      <c r="F9" s="18" t="s">
        <v>107</v>
      </c>
    </row>
    <row r="10" spans="2:6" ht="13.5" customHeight="1" x14ac:dyDescent="0.2">
      <c r="B10" s="18" t="s">
        <v>108</v>
      </c>
      <c r="C10" s="66">
        <f>SUM('Op Build'!C44:N44)</f>
        <v>0</v>
      </c>
      <c r="D10" s="66">
        <v>1E-3</v>
      </c>
      <c r="E10" s="69" t="str">
        <f t="shared" si="0"/>
        <v>PASS</v>
      </c>
      <c r="F10" s="18" t="s">
        <v>109</v>
      </c>
    </row>
    <row r="11" spans="2:6" ht="13.5" customHeight="1" x14ac:dyDescent="0.2">
      <c r="B11" s="18" t="s">
        <v>110</v>
      </c>
      <c r="C11" s="66">
        <f>COUNTBLANK('Op Build'!C50:H59)</f>
        <v>0</v>
      </c>
      <c r="D11" s="66">
        <v>0</v>
      </c>
      <c r="E11" s="69" t="str">
        <f>IF(C11=D11,"PASS","FAIL")</f>
        <v>PASS</v>
      </c>
      <c r="F11" s="18" t="s">
        <v>111</v>
      </c>
    </row>
    <row r="12" spans="2:6" ht="13.5" customHeight="1" x14ac:dyDescent="0.2">
      <c r="B12" s="18" t="s">
        <v>112</v>
      </c>
      <c r="C12" s="67">
        <f>'Op Build'!N42</f>
        <v>12252.432199999997</v>
      </c>
      <c r="D12" s="67">
        <v>0</v>
      </c>
      <c r="E12" s="69" t="str">
        <f>IF(C12&gt;=D12,"PASS","FAIL")</f>
        <v>PASS</v>
      </c>
      <c r="F12" s="18" t="s">
        <v>113</v>
      </c>
    </row>
    <row r="13" spans="2:6" ht="13.5" customHeight="1" x14ac:dyDescent="0.2">
      <c r="B13" s="18" t="s">
        <v>114</v>
      </c>
      <c r="C13" s="68">
        <f>'Op Build'!N43</f>
        <v>6.7401834550286299</v>
      </c>
      <c r="D13" s="68">
        <v>6</v>
      </c>
      <c r="E13" s="69" t="str">
        <f>IF(C13&gt;=D13,"PASS","WATCH")</f>
        <v>PASS</v>
      </c>
      <c r="F13" s="18" t="s">
        <v>115</v>
      </c>
    </row>
    <row r="14" spans="2:6" ht="13.5" customHeight="1" x14ac:dyDescent="0.2">
      <c r="B14" s="1"/>
      <c r="C14" s="1"/>
      <c r="D14" s="1"/>
      <c r="E14" s="1"/>
      <c r="F14" s="1"/>
    </row>
    <row r="15" spans="2:6" ht="24" customHeight="1" x14ac:dyDescent="0.2">
      <c r="B15" s="98" t="s">
        <v>116</v>
      </c>
      <c r="C15" s="97" t="s">
        <v>117</v>
      </c>
      <c r="D15" s="88"/>
      <c r="E15" s="88"/>
      <c r="F15" s="77"/>
    </row>
    <row r="16" spans="2:6" ht="24" customHeight="1" x14ac:dyDescent="0.2">
      <c r="B16" s="99"/>
      <c r="C16" s="78"/>
      <c r="D16" s="89"/>
      <c r="E16" s="89"/>
      <c r="F16" s="79"/>
    </row>
    <row r="17" spans="2:6" ht="13.5" customHeight="1" x14ac:dyDescent="0.2">
      <c r="B17" s="1"/>
      <c r="C17" s="1"/>
      <c r="D17" s="1"/>
      <c r="E17" s="1"/>
      <c r="F17" s="1"/>
    </row>
    <row r="18" spans="2:6" ht="13.5" customHeight="1" x14ac:dyDescent="0.2"/>
    <row r="19" spans="2:6" ht="13.5" customHeight="1" x14ac:dyDescent="0.2"/>
    <row r="20" spans="2:6" ht="13.5" customHeight="1" x14ac:dyDescent="0.2"/>
    <row r="21" spans="2:6" ht="13.5" customHeight="1" x14ac:dyDescent="0.2"/>
    <row r="22" spans="2:6" ht="13.5" customHeight="1" x14ac:dyDescent="0.2"/>
    <row r="23" spans="2:6" ht="13.5" customHeight="1" x14ac:dyDescent="0.2"/>
    <row r="24" spans="2:6" ht="13.5" customHeight="1" x14ac:dyDescent="0.2"/>
    <row r="25" spans="2:6" ht="13.5" customHeight="1" x14ac:dyDescent="0.2"/>
    <row r="26" spans="2:6" ht="13.5" customHeight="1" x14ac:dyDescent="0.2"/>
    <row r="27" spans="2:6" ht="13.5" customHeight="1" x14ac:dyDescent="0.2"/>
    <row r="28" spans="2:6" ht="13.5" customHeight="1" x14ac:dyDescent="0.2"/>
    <row r="29" spans="2:6" ht="13.5" customHeight="1" x14ac:dyDescent="0.2"/>
    <row r="30" spans="2:6" ht="13.5" customHeight="1" x14ac:dyDescent="0.2"/>
    <row r="31" spans="2:6" ht="13.5" customHeight="1" x14ac:dyDescent="0.2"/>
    <row r="32" spans="2:6" ht="13.5" customHeight="1" x14ac:dyDescent="0.2"/>
    <row r="33" customFormat="1" ht="13.5" customHeight="1" x14ac:dyDescent="0.2"/>
    <row r="34" customFormat="1" ht="13.5" customHeight="1" x14ac:dyDescent="0.2"/>
    <row r="35" customFormat="1" ht="13.5" customHeight="1" x14ac:dyDescent="0.2"/>
    <row r="36" customFormat="1" ht="13.5" customHeight="1" x14ac:dyDescent="0.2"/>
    <row r="37" customFormat="1" ht="13.5" customHeight="1" x14ac:dyDescent="0.2"/>
    <row r="38" customFormat="1" ht="13.5" customHeight="1" x14ac:dyDescent="0.2"/>
    <row r="39" customFormat="1" ht="13.5" customHeight="1" x14ac:dyDescent="0.2"/>
    <row r="40" customFormat="1" ht="13.5" customHeight="1" x14ac:dyDescent="0.2"/>
    <row r="41" customFormat="1" ht="13.5" customHeight="1" x14ac:dyDescent="0.2"/>
    <row r="42" customFormat="1" ht="13.5" customHeight="1" x14ac:dyDescent="0.2"/>
    <row r="43" customFormat="1" ht="13.5" customHeight="1" x14ac:dyDescent="0.2"/>
    <row r="44" customFormat="1" ht="13.5" customHeight="1" x14ac:dyDescent="0.2"/>
    <row r="45" customFormat="1" ht="13.5" customHeight="1" x14ac:dyDescent="0.2"/>
    <row r="46" customFormat="1" ht="13.5" customHeight="1" x14ac:dyDescent="0.2"/>
    <row r="47" customFormat="1" ht="13.5" customHeight="1" x14ac:dyDescent="0.2"/>
    <row r="48" customFormat="1" ht="13.5" customHeight="1" x14ac:dyDescent="0.2"/>
    <row r="49" customFormat="1" ht="13.5" customHeight="1" x14ac:dyDescent="0.2"/>
    <row r="50" customFormat="1" ht="13.5" customHeight="1" x14ac:dyDescent="0.2"/>
    <row r="51" customFormat="1" ht="13.5" customHeight="1" x14ac:dyDescent="0.2"/>
    <row r="52" customFormat="1" ht="13.5" customHeight="1" x14ac:dyDescent="0.2"/>
    <row r="53" customFormat="1" ht="13.5" customHeight="1" x14ac:dyDescent="0.2"/>
    <row r="54" customFormat="1" ht="13.5" customHeight="1" x14ac:dyDescent="0.2"/>
    <row r="55" customFormat="1" ht="13.5" customHeight="1" x14ac:dyDescent="0.2"/>
    <row r="56" customFormat="1" ht="13.5" customHeight="1" x14ac:dyDescent="0.2"/>
    <row r="57" customFormat="1" ht="13.5" customHeight="1" x14ac:dyDescent="0.2"/>
    <row r="58" customFormat="1" ht="13.5" customHeight="1" x14ac:dyDescent="0.2"/>
    <row r="59" customFormat="1" ht="13.5" customHeight="1" x14ac:dyDescent="0.2"/>
    <row r="60" customFormat="1" ht="13.5" customHeight="1" x14ac:dyDescent="0.2"/>
    <row r="61" customFormat="1" ht="13.5" customHeight="1" x14ac:dyDescent="0.2"/>
    <row r="62" customFormat="1" ht="13.5" customHeight="1" x14ac:dyDescent="0.2"/>
    <row r="63" customFormat="1" ht="13.5" customHeight="1" x14ac:dyDescent="0.2"/>
    <row r="64" customFormat="1" ht="13.5" customHeight="1" x14ac:dyDescent="0.2"/>
    <row r="65" customFormat="1" ht="13.5" customHeight="1" x14ac:dyDescent="0.2"/>
    <row r="66" customFormat="1" ht="13.5" customHeight="1" x14ac:dyDescent="0.2"/>
    <row r="67" customFormat="1" ht="13.5" customHeight="1" x14ac:dyDescent="0.2"/>
    <row r="68" customFormat="1" ht="13.5" customHeight="1" x14ac:dyDescent="0.2"/>
    <row r="69" customFormat="1" ht="13.5" customHeight="1" x14ac:dyDescent="0.2"/>
    <row r="70" customFormat="1" ht="13.5" customHeight="1" x14ac:dyDescent="0.2"/>
    <row r="71" customFormat="1" ht="13.5" customHeight="1" x14ac:dyDescent="0.2"/>
    <row r="72" customFormat="1" ht="13.5" customHeight="1" x14ac:dyDescent="0.2"/>
    <row r="73" customFormat="1" ht="13.5" customHeight="1" x14ac:dyDescent="0.2"/>
    <row r="74" customFormat="1" ht="13.5" customHeight="1" x14ac:dyDescent="0.2"/>
    <row r="75" customFormat="1" ht="13.5" customHeight="1" x14ac:dyDescent="0.2"/>
    <row r="76" customFormat="1" ht="13.5" customHeight="1" x14ac:dyDescent="0.2"/>
    <row r="77" customFormat="1" ht="13.5" customHeight="1" x14ac:dyDescent="0.2"/>
    <row r="78" customFormat="1" ht="13.5" customHeight="1" x14ac:dyDescent="0.2"/>
    <row r="79" customFormat="1" ht="13.5" customHeight="1" x14ac:dyDescent="0.2"/>
    <row r="80" customFormat="1" ht="13.5" customHeight="1" x14ac:dyDescent="0.2"/>
    <row r="81" customFormat="1" ht="13.5" customHeight="1" x14ac:dyDescent="0.2"/>
    <row r="82" customFormat="1" ht="13.5" customHeight="1" x14ac:dyDescent="0.2"/>
    <row r="83" customFormat="1" ht="13.5" customHeight="1" x14ac:dyDescent="0.2"/>
    <row r="84" customFormat="1" ht="13.5" customHeight="1" x14ac:dyDescent="0.2"/>
    <row r="85" customFormat="1" ht="13.5" customHeight="1" x14ac:dyDescent="0.2"/>
    <row r="86" customFormat="1" ht="13.5" customHeight="1" x14ac:dyDescent="0.2"/>
    <row r="87" customFormat="1" ht="13.5" customHeight="1" x14ac:dyDescent="0.2"/>
    <row r="88" customFormat="1" ht="13.5" customHeight="1" x14ac:dyDescent="0.2"/>
    <row r="89" customFormat="1" ht="13.5" customHeight="1" x14ac:dyDescent="0.2"/>
    <row r="90" customFormat="1" ht="13.5" customHeight="1" x14ac:dyDescent="0.2"/>
    <row r="91" customFormat="1" ht="13.5" customHeight="1" x14ac:dyDescent="0.2"/>
    <row r="92" customFormat="1" ht="13.5" customHeight="1" x14ac:dyDescent="0.2"/>
    <row r="93" customFormat="1" ht="13.5" customHeight="1" x14ac:dyDescent="0.2"/>
    <row r="94" customFormat="1" ht="13.5" customHeight="1" x14ac:dyDescent="0.2"/>
    <row r="95" customFormat="1" ht="13.5" customHeight="1" x14ac:dyDescent="0.2"/>
    <row r="96" customFormat="1" ht="13.5" customHeight="1" x14ac:dyDescent="0.2"/>
    <row r="97" customFormat="1" ht="13.5" customHeight="1" x14ac:dyDescent="0.2"/>
    <row r="98" customFormat="1" ht="13.5" customHeight="1" x14ac:dyDescent="0.2"/>
    <row r="99" customFormat="1" ht="13.5" customHeight="1" x14ac:dyDescent="0.2"/>
    <row r="100" customFormat="1" ht="13.5" customHeight="1" x14ac:dyDescent="0.2"/>
    <row r="101" customFormat="1" ht="13.5" customHeight="1" x14ac:dyDescent="0.2"/>
    <row r="102" customFormat="1" ht="13.5" customHeight="1" x14ac:dyDescent="0.2"/>
    <row r="103" customFormat="1" ht="13.5" customHeight="1" x14ac:dyDescent="0.2"/>
    <row r="104" customFormat="1" ht="13.5" customHeight="1" x14ac:dyDescent="0.2"/>
    <row r="105" customFormat="1" ht="13.5" customHeight="1" x14ac:dyDescent="0.2"/>
    <row r="106" customFormat="1" ht="13.5" customHeight="1" x14ac:dyDescent="0.2"/>
    <row r="107" customFormat="1" ht="13.5" customHeight="1" x14ac:dyDescent="0.2"/>
    <row r="108" customFormat="1" ht="13.5" customHeight="1" x14ac:dyDescent="0.2"/>
    <row r="109" customFormat="1" ht="13.5" customHeight="1" x14ac:dyDescent="0.2"/>
    <row r="110" customFormat="1" ht="13.5" customHeight="1" x14ac:dyDescent="0.2"/>
    <row r="111" customFormat="1" ht="13.5" customHeight="1" x14ac:dyDescent="0.2"/>
    <row r="112" customFormat="1" ht="13.5" customHeight="1" x14ac:dyDescent="0.2"/>
    <row r="113" customFormat="1" ht="13.5" customHeight="1" x14ac:dyDescent="0.2"/>
    <row r="114" customFormat="1" ht="13.5" customHeight="1" x14ac:dyDescent="0.2"/>
    <row r="115" customFormat="1" ht="13.5" customHeight="1" x14ac:dyDescent="0.2"/>
    <row r="116" customFormat="1" ht="13.5" customHeight="1" x14ac:dyDescent="0.2"/>
    <row r="117" customFormat="1" ht="13.5" customHeight="1" x14ac:dyDescent="0.2"/>
    <row r="118" customFormat="1" ht="13.5" customHeight="1" x14ac:dyDescent="0.2"/>
    <row r="119" customFormat="1" ht="13.5" customHeight="1" x14ac:dyDescent="0.2"/>
    <row r="120" customFormat="1" ht="13.5" customHeight="1" x14ac:dyDescent="0.2"/>
    <row r="121" customFormat="1" ht="13.5" customHeight="1" x14ac:dyDescent="0.2"/>
    <row r="122" customFormat="1" ht="13.5" customHeight="1" x14ac:dyDescent="0.2"/>
    <row r="123" customFormat="1" ht="13.5" customHeight="1" x14ac:dyDescent="0.2"/>
    <row r="124" customFormat="1" ht="13.5" customHeight="1" x14ac:dyDescent="0.2"/>
    <row r="125" customFormat="1" ht="13.5" customHeight="1" x14ac:dyDescent="0.2"/>
    <row r="126" customFormat="1" ht="13.5" customHeight="1" x14ac:dyDescent="0.2"/>
    <row r="127" customFormat="1" ht="13.5" customHeight="1" x14ac:dyDescent="0.2"/>
    <row r="128" customFormat="1" ht="13.5" customHeight="1" x14ac:dyDescent="0.2"/>
    <row r="129" customFormat="1" ht="13.5" customHeight="1" x14ac:dyDescent="0.2"/>
    <row r="130" customFormat="1" ht="13.5" customHeight="1" x14ac:dyDescent="0.2"/>
    <row r="131" customFormat="1" ht="13.5" customHeight="1" x14ac:dyDescent="0.2"/>
    <row r="132" customFormat="1" ht="13.5" customHeight="1" x14ac:dyDescent="0.2"/>
    <row r="133" customFormat="1" ht="13.5" customHeight="1" x14ac:dyDescent="0.2"/>
    <row r="134" customFormat="1" ht="13.5" customHeight="1" x14ac:dyDescent="0.2"/>
    <row r="135" customFormat="1" ht="13.5" customHeight="1" x14ac:dyDescent="0.2"/>
    <row r="136" customFormat="1" ht="13.5" customHeight="1" x14ac:dyDescent="0.2"/>
    <row r="137" customFormat="1" ht="13.5" customHeight="1" x14ac:dyDescent="0.2"/>
    <row r="138" customFormat="1" ht="13.5" customHeight="1" x14ac:dyDescent="0.2"/>
    <row r="139" customFormat="1" ht="13.5" customHeight="1" x14ac:dyDescent="0.2"/>
    <row r="140" customFormat="1" ht="13.5" customHeight="1" x14ac:dyDescent="0.2"/>
    <row r="141" customFormat="1" ht="13.5" customHeight="1" x14ac:dyDescent="0.2"/>
    <row r="142" customFormat="1" ht="13.5" customHeight="1" x14ac:dyDescent="0.2"/>
    <row r="143" customFormat="1" ht="13.5" customHeight="1" x14ac:dyDescent="0.2"/>
    <row r="144" customFormat="1" ht="13.5" customHeight="1" x14ac:dyDescent="0.2"/>
    <row r="145" customFormat="1" ht="13.5" customHeight="1" x14ac:dyDescent="0.2"/>
    <row r="146" customFormat="1" ht="13.5" customHeight="1" x14ac:dyDescent="0.2"/>
    <row r="147" customFormat="1" ht="13.5" customHeight="1" x14ac:dyDescent="0.2"/>
    <row r="148" customFormat="1" ht="13.5" customHeight="1" x14ac:dyDescent="0.2"/>
    <row r="149" customFormat="1" ht="13.5" customHeight="1" x14ac:dyDescent="0.2"/>
    <row r="150" customFormat="1" ht="13.5" customHeight="1" x14ac:dyDescent="0.2"/>
    <row r="151" customFormat="1" ht="13.5" customHeight="1" x14ac:dyDescent="0.2"/>
    <row r="152" customFormat="1" ht="13.5" customHeight="1" x14ac:dyDescent="0.2"/>
    <row r="153" customFormat="1" ht="13.5" customHeight="1" x14ac:dyDescent="0.2"/>
    <row r="154" customFormat="1" ht="13.5" customHeight="1" x14ac:dyDescent="0.2"/>
    <row r="155" customFormat="1" ht="13.5" customHeight="1" x14ac:dyDescent="0.2"/>
    <row r="156" customFormat="1" ht="13.5" customHeight="1" x14ac:dyDescent="0.2"/>
    <row r="157" customFormat="1" ht="13.5" customHeight="1" x14ac:dyDescent="0.2"/>
    <row r="158" customFormat="1" ht="13.5" customHeight="1" x14ac:dyDescent="0.2"/>
    <row r="159" customFormat="1" ht="13.5" customHeight="1" x14ac:dyDescent="0.2"/>
    <row r="160" customFormat="1" ht="13.5" customHeight="1" x14ac:dyDescent="0.2"/>
    <row r="161" customFormat="1" ht="13.5" customHeight="1" x14ac:dyDescent="0.2"/>
    <row r="162" customFormat="1" ht="13.5" customHeight="1" x14ac:dyDescent="0.2"/>
    <row r="163" customFormat="1" ht="13.5" customHeight="1" x14ac:dyDescent="0.2"/>
    <row r="164" customFormat="1" ht="13.5" customHeight="1" x14ac:dyDescent="0.2"/>
    <row r="165" customFormat="1" ht="13.5" customHeight="1" x14ac:dyDescent="0.2"/>
    <row r="166" customFormat="1" ht="13.5" customHeight="1" x14ac:dyDescent="0.2"/>
    <row r="167" customFormat="1" ht="13.5" customHeight="1" x14ac:dyDescent="0.2"/>
    <row r="168" customFormat="1" ht="13.5" customHeight="1" x14ac:dyDescent="0.2"/>
    <row r="169" customFormat="1" ht="13.5" customHeight="1" x14ac:dyDescent="0.2"/>
    <row r="170" customFormat="1" ht="13.5" customHeight="1" x14ac:dyDescent="0.2"/>
    <row r="171" customFormat="1" ht="13.5" customHeight="1" x14ac:dyDescent="0.2"/>
    <row r="172" customFormat="1" ht="13.5" customHeight="1" x14ac:dyDescent="0.2"/>
    <row r="173" customFormat="1" ht="13.5" customHeight="1" x14ac:dyDescent="0.2"/>
    <row r="174" customFormat="1" ht="13.5" customHeight="1" x14ac:dyDescent="0.2"/>
    <row r="175" customFormat="1" ht="13.5" customHeight="1" x14ac:dyDescent="0.2"/>
    <row r="176" customFormat="1" ht="13.5" customHeight="1" x14ac:dyDescent="0.2"/>
    <row r="177" customFormat="1" ht="13.5" customHeight="1" x14ac:dyDescent="0.2"/>
    <row r="178" customFormat="1" ht="13.5" customHeight="1" x14ac:dyDescent="0.2"/>
    <row r="179" customFormat="1" ht="13.5" customHeight="1" x14ac:dyDescent="0.2"/>
    <row r="180" customFormat="1" ht="13.5" customHeight="1" x14ac:dyDescent="0.2"/>
    <row r="181" customFormat="1" ht="13.5" customHeight="1" x14ac:dyDescent="0.2"/>
    <row r="182" customFormat="1" ht="13.5" customHeight="1" x14ac:dyDescent="0.2"/>
    <row r="183" customFormat="1" ht="13.5" customHeight="1" x14ac:dyDescent="0.2"/>
    <row r="184" customFormat="1" ht="13.5" customHeight="1" x14ac:dyDescent="0.2"/>
    <row r="185" customFormat="1" ht="13.5" customHeight="1" x14ac:dyDescent="0.2"/>
    <row r="186" customFormat="1" ht="13.5" customHeight="1" x14ac:dyDescent="0.2"/>
    <row r="187" customFormat="1" ht="13.5" customHeight="1" x14ac:dyDescent="0.2"/>
    <row r="188" customFormat="1" ht="13.5" customHeight="1" x14ac:dyDescent="0.2"/>
    <row r="189" customFormat="1" ht="13.5" customHeight="1" x14ac:dyDescent="0.2"/>
    <row r="190" customFormat="1" ht="13.5" customHeight="1" x14ac:dyDescent="0.2"/>
    <row r="191" customFormat="1" ht="13.5" customHeight="1" x14ac:dyDescent="0.2"/>
    <row r="192" customFormat="1" ht="13.5" customHeight="1" x14ac:dyDescent="0.2"/>
    <row r="193" customFormat="1" ht="13.5" customHeight="1" x14ac:dyDescent="0.2"/>
    <row r="194" customFormat="1" ht="13.5" customHeight="1" x14ac:dyDescent="0.2"/>
    <row r="195" customFormat="1" ht="13.5" customHeight="1" x14ac:dyDescent="0.2"/>
    <row r="196" customFormat="1" ht="13.5" customHeight="1" x14ac:dyDescent="0.2"/>
    <row r="197" customFormat="1" ht="13.5" customHeight="1" x14ac:dyDescent="0.2"/>
    <row r="198" customFormat="1" ht="13.5" customHeight="1" x14ac:dyDescent="0.2"/>
    <row r="199" customFormat="1" ht="13.5" customHeight="1" x14ac:dyDescent="0.2"/>
    <row r="200" customFormat="1" ht="13.5" customHeight="1" x14ac:dyDescent="0.2"/>
    <row r="201" customFormat="1" ht="13.5" customHeight="1" x14ac:dyDescent="0.2"/>
    <row r="202" customFormat="1" ht="13.5" customHeight="1" x14ac:dyDescent="0.2"/>
    <row r="203" customFormat="1" ht="13.5" customHeight="1" x14ac:dyDescent="0.2"/>
    <row r="204" customFormat="1" ht="13.5" customHeight="1" x14ac:dyDescent="0.2"/>
    <row r="205" customFormat="1" ht="13.5" customHeight="1" x14ac:dyDescent="0.2"/>
    <row r="206" customFormat="1" ht="13.5" customHeight="1" x14ac:dyDescent="0.2"/>
    <row r="207" customFormat="1" ht="13.5" customHeight="1" x14ac:dyDescent="0.2"/>
    <row r="208" customFormat="1" ht="13.5" customHeight="1" x14ac:dyDescent="0.2"/>
    <row r="209" customFormat="1" ht="13.5" customHeight="1" x14ac:dyDescent="0.2"/>
    <row r="210" customFormat="1" ht="13.5" customHeight="1" x14ac:dyDescent="0.2"/>
    <row r="211" customFormat="1" ht="13.5" customHeight="1" x14ac:dyDescent="0.2"/>
    <row r="212" customFormat="1" ht="13.5" customHeight="1" x14ac:dyDescent="0.2"/>
    <row r="213" customFormat="1" ht="13.5" customHeight="1" x14ac:dyDescent="0.2"/>
    <row r="214" customFormat="1" ht="13.5" customHeight="1" x14ac:dyDescent="0.2"/>
    <row r="215" customFormat="1" ht="13.5" customHeight="1" x14ac:dyDescent="0.2"/>
    <row r="216" customFormat="1" ht="13.5" customHeight="1" x14ac:dyDescent="0.2"/>
    <row r="217" customFormat="1" ht="13.5" customHeight="1" x14ac:dyDescent="0.2"/>
    <row r="218" customFormat="1" ht="13.5" customHeight="1" x14ac:dyDescent="0.2"/>
    <row r="219" customFormat="1" ht="13.5" customHeight="1" x14ac:dyDescent="0.2"/>
    <row r="220" customFormat="1" ht="13.5" customHeight="1" x14ac:dyDescent="0.2"/>
    <row r="221" customFormat="1" ht="13.5" customHeight="1" x14ac:dyDescent="0.2"/>
    <row r="222" customFormat="1" ht="13.5" customHeight="1" x14ac:dyDescent="0.2"/>
    <row r="223" customFormat="1" ht="13.5" customHeight="1" x14ac:dyDescent="0.2"/>
    <row r="224" customFormat="1" ht="13.5" customHeight="1" x14ac:dyDescent="0.2"/>
    <row r="225" customFormat="1" ht="13.5" customHeight="1" x14ac:dyDescent="0.2"/>
    <row r="226" customFormat="1" ht="13.5" customHeight="1" x14ac:dyDescent="0.2"/>
    <row r="227" customFormat="1" ht="13.5" customHeight="1" x14ac:dyDescent="0.2"/>
    <row r="228" customFormat="1" ht="13.5" customHeight="1" x14ac:dyDescent="0.2"/>
    <row r="229" customFormat="1" ht="13.5" customHeight="1" x14ac:dyDescent="0.2"/>
    <row r="230" customFormat="1" ht="13.5" customHeight="1" x14ac:dyDescent="0.2"/>
    <row r="231" customFormat="1" ht="13.5" customHeight="1" x14ac:dyDescent="0.2"/>
    <row r="232" customFormat="1" ht="13.5" customHeight="1" x14ac:dyDescent="0.2"/>
    <row r="233" customFormat="1" ht="13.5" customHeight="1" x14ac:dyDescent="0.2"/>
    <row r="234" customFormat="1" ht="13.5" customHeight="1" x14ac:dyDescent="0.2"/>
    <row r="235" customFormat="1" ht="13.5" customHeight="1" x14ac:dyDescent="0.2"/>
    <row r="236" customFormat="1" ht="13.5" customHeight="1" x14ac:dyDescent="0.2"/>
    <row r="237" customFormat="1" ht="13.5" customHeight="1" x14ac:dyDescent="0.2"/>
    <row r="238" customFormat="1" ht="13.5" customHeight="1" x14ac:dyDescent="0.2"/>
    <row r="239" customFormat="1" ht="13.5" customHeight="1" x14ac:dyDescent="0.2"/>
    <row r="240" customFormat="1" ht="13.5" customHeight="1" x14ac:dyDescent="0.2"/>
    <row r="241" customFormat="1" ht="13.5" customHeight="1" x14ac:dyDescent="0.2"/>
    <row r="242" customFormat="1" ht="13.5" customHeight="1" x14ac:dyDescent="0.2"/>
    <row r="243" customFormat="1" ht="13.5" customHeight="1" x14ac:dyDescent="0.2"/>
    <row r="244" customFormat="1" ht="13.5" customHeight="1" x14ac:dyDescent="0.2"/>
    <row r="245" customFormat="1" ht="13.5" customHeight="1" x14ac:dyDescent="0.2"/>
    <row r="246" customFormat="1" ht="13.5" customHeight="1" x14ac:dyDescent="0.2"/>
    <row r="247" customFormat="1" ht="13.5" customHeight="1" x14ac:dyDescent="0.2"/>
    <row r="248" customFormat="1" ht="13.5" customHeight="1" x14ac:dyDescent="0.2"/>
    <row r="249" customFormat="1" ht="13.5" customHeight="1" x14ac:dyDescent="0.2"/>
    <row r="250" customFormat="1" ht="13.5" customHeight="1" x14ac:dyDescent="0.2"/>
    <row r="251" customFormat="1" ht="13.5" customHeight="1" x14ac:dyDescent="0.2"/>
    <row r="252" customFormat="1" ht="13.5" customHeight="1" x14ac:dyDescent="0.2"/>
    <row r="253" customFormat="1" ht="13.5" customHeight="1" x14ac:dyDescent="0.2"/>
    <row r="254" customFormat="1" ht="13.5" customHeight="1" x14ac:dyDescent="0.2"/>
    <row r="255" customFormat="1" ht="13.5" customHeight="1" x14ac:dyDescent="0.2"/>
    <row r="256" customFormat="1" ht="13.5" customHeight="1" x14ac:dyDescent="0.2"/>
    <row r="257" customFormat="1" ht="13.5" customHeight="1" x14ac:dyDescent="0.2"/>
    <row r="258" customFormat="1" ht="13.5" customHeight="1" x14ac:dyDescent="0.2"/>
    <row r="259" customFormat="1" ht="13.5" customHeight="1" x14ac:dyDescent="0.2"/>
    <row r="260" customFormat="1" ht="13.5" customHeight="1" x14ac:dyDescent="0.2"/>
    <row r="261" customFormat="1" ht="13.5" customHeight="1" x14ac:dyDescent="0.2"/>
    <row r="262" customFormat="1" ht="13.5" customHeight="1" x14ac:dyDescent="0.2"/>
    <row r="263" customFormat="1" ht="13.5" customHeight="1" x14ac:dyDescent="0.2"/>
    <row r="264" customFormat="1" ht="13.5" customHeight="1" x14ac:dyDescent="0.2"/>
    <row r="265" customFormat="1" ht="13.5" customHeight="1" x14ac:dyDescent="0.2"/>
    <row r="266" customFormat="1" ht="13.5" customHeight="1" x14ac:dyDescent="0.2"/>
    <row r="267" customFormat="1" ht="13.5" customHeight="1" x14ac:dyDescent="0.2"/>
    <row r="268" customFormat="1" ht="13.5" customHeight="1" x14ac:dyDescent="0.2"/>
    <row r="269" customFormat="1" ht="13.5" customHeight="1" x14ac:dyDescent="0.2"/>
    <row r="270" customFormat="1" ht="13.5" customHeight="1" x14ac:dyDescent="0.2"/>
    <row r="271" customFormat="1" ht="13.5" customHeight="1" x14ac:dyDescent="0.2"/>
    <row r="272" customFormat="1" ht="13.5" customHeight="1" x14ac:dyDescent="0.2"/>
    <row r="273" customFormat="1" ht="13.5" customHeight="1" x14ac:dyDescent="0.2"/>
    <row r="274" customFormat="1" ht="13.5" customHeight="1" x14ac:dyDescent="0.2"/>
    <row r="275" customFormat="1" ht="13.5" customHeight="1" x14ac:dyDescent="0.2"/>
    <row r="276" customFormat="1" ht="13.5" customHeight="1" x14ac:dyDescent="0.2"/>
    <row r="277" customFormat="1" ht="13.5" customHeight="1" x14ac:dyDescent="0.2"/>
    <row r="278" customFormat="1" ht="13.5" customHeight="1" x14ac:dyDescent="0.2"/>
    <row r="279" customFormat="1" ht="13.5" customHeight="1" x14ac:dyDescent="0.2"/>
    <row r="280" customFormat="1" ht="13.5" customHeight="1" x14ac:dyDescent="0.2"/>
    <row r="281" customFormat="1" ht="13.5" customHeight="1" x14ac:dyDescent="0.2"/>
    <row r="282" customFormat="1" ht="13.5" customHeight="1" x14ac:dyDescent="0.2"/>
    <row r="283" customFormat="1" ht="13.5" customHeight="1" x14ac:dyDescent="0.2"/>
    <row r="284" customFormat="1" ht="13.5" customHeight="1" x14ac:dyDescent="0.2"/>
    <row r="285" customFormat="1" ht="13.5" customHeight="1" x14ac:dyDescent="0.2"/>
    <row r="286" customFormat="1" ht="13.5" customHeight="1" x14ac:dyDescent="0.2"/>
    <row r="287" customFormat="1" ht="13.5" customHeight="1" x14ac:dyDescent="0.2"/>
    <row r="288" customFormat="1" ht="13.5" customHeight="1" x14ac:dyDescent="0.2"/>
    <row r="289" customFormat="1" ht="13.5" customHeight="1" x14ac:dyDescent="0.2"/>
    <row r="290" customFormat="1" ht="13.5" customHeight="1" x14ac:dyDescent="0.2"/>
    <row r="291" customFormat="1" ht="13.5" customHeight="1" x14ac:dyDescent="0.2"/>
    <row r="292" customFormat="1" ht="13.5" customHeight="1" x14ac:dyDescent="0.2"/>
    <row r="293" customFormat="1" ht="13.5" customHeight="1" x14ac:dyDescent="0.2"/>
    <row r="294" customFormat="1" ht="13.5" customHeight="1" x14ac:dyDescent="0.2"/>
    <row r="295" customFormat="1" ht="13.5" customHeight="1" x14ac:dyDescent="0.2"/>
    <row r="296" customFormat="1" ht="13.5" customHeight="1" x14ac:dyDescent="0.2"/>
    <row r="297" customFormat="1" ht="13.5" customHeight="1" x14ac:dyDescent="0.2"/>
    <row r="298" customFormat="1" ht="13.5" customHeight="1" x14ac:dyDescent="0.2"/>
    <row r="299" customFormat="1" ht="13.5" customHeight="1" x14ac:dyDescent="0.2"/>
    <row r="300" customFormat="1" ht="13.5" customHeight="1" x14ac:dyDescent="0.2"/>
    <row r="301" customFormat="1" ht="13.5" customHeight="1" x14ac:dyDescent="0.2"/>
    <row r="302" customFormat="1" ht="13.5" customHeight="1" x14ac:dyDescent="0.2"/>
    <row r="303" customFormat="1" ht="13.5" customHeight="1" x14ac:dyDescent="0.2"/>
    <row r="304" customFormat="1" ht="13.5" customHeight="1" x14ac:dyDescent="0.2"/>
    <row r="305" customFormat="1" ht="13.5" customHeight="1" x14ac:dyDescent="0.2"/>
    <row r="306" customFormat="1" ht="13.5" customHeight="1" x14ac:dyDescent="0.2"/>
    <row r="307" customFormat="1" ht="13.5" customHeight="1" x14ac:dyDescent="0.2"/>
    <row r="308" customFormat="1" ht="13.5" customHeight="1" x14ac:dyDescent="0.2"/>
    <row r="309" customFormat="1" ht="13.5" customHeight="1" x14ac:dyDescent="0.2"/>
    <row r="310" customFormat="1" ht="13.5" customHeight="1" x14ac:dyDescent="0.2"/>
    <row r="311" customFormat="1" ht="13.5" customHeight="1" x14ac:dyDescent="0.2"/>
    <row r="312" customFormat="1" ht="13.5" customHeight="1" x14ac:dyDescent="0.2"/>
    <row r="313" customFormat="1" ht="13.5" customHeight="1" x14ac:dyDescent="0.2"/>
    <row r="314" customFormat="1" ht="13.5" customHeight="1" x14ac:dyDescent="0.2"/>
    <row r="315" customFormat="1" ht="13.5" customHeight="1" x14ac:dyDescent="0.2"/>
    <row r="316" customFormat="1" ht="13.5" customHeight="1" x14ac:dyDescent="0.2"/>
    <row r="317" customFormat="1" ht="13.5" customHeight="1" x14ac:dyDescent="0.2"/>
    <row r="318" customFormat="1" ht="13.5" customHeight="1" x14ac:dyDescent="0.2"/>
    <row r="319" customFormat="1" ht="13.5" customHeight="1" x14ac:dyDescent="0.2"/>
    <row r="320" customFormat="1" ht="13.5" customHeight="1" x14ac:dyDescent="0.2"/>
    <row r="321" customFormat="1" ht="13.5" customHeight="1" x14ac:dyDescent="0.2"/>
    <row r="322" customFormat="1" ht="13.5" customHeight="1" x14ac:dyDescent="0.2"/>
    <row r="323" customFormat="1" ht="13.5" customHeight="1" x14ac:dyDescent="0.2"/>
    <row r="324" customFormat="1" ht="13.5" customHeight="1" x14ac:dyDescent="0.2"/>
    <row r="325" customFormat="1" ht="13.5" customHeight="1" x14ac:dyDescent="0.2"/>
    <row r="326" customFormat="1" ht="13.5" customHeight="1" x14ac:dyDescent="0.2"/>
    <row r="327" customFormat="1" ht="13.5" customHeight="1" x14ac:dyDescent="0.2"/>
    <row r="328" customFormat="1" ht="13.5" customHeight="1" x14ac:dyDescent="0.2"/>
    <row r="329" customFormat="1" ht="13.5" customHeight="1" x14ac:dyDescent="0.2"/>
    <row r="330" customFormat="1" ht="13.5" customHeight="1" x14ac:dyDescent="0.2"/>
    <row r="331" customFormat="1" ht="13.5" customHeight="1" x14ac:dyDescent="0.2"/>
    <row r="332" customFormat="1" ht="13.5" customHeight="1" x14ac:dyDescent="0.2"/>
    <row r="333" customFormat="1" ht="13.5" customHeight="1" x14ac:dyDescent="0.2"/>
    <row r="334" customFormat="1" ht="13.5" customHeight="1" x14ac:dyDescent="0.2"/>
    <row r="335" customFormat="1" ht="13.5" customHeight="1" x14ac:dyDescent="0.2"/>
    <row r="336" customFormat="1" ht="13.5" customHeight="1" x14ac:dyDescent="0.2"/>
    <row r="337" customFormat="1" ht="13.5" customHeight="1" x14ac:dyDescent="0.2"/>
    <row r="338" customFormat="1" ht="13.5" customHeight="1" x14ac:dyDescent="0.2"/>
    <row r="339" customFormat="1" ht="13.5" customHeight="1" x14ac:dyDescent="0.2"/>
    <row r="340" customFormat="1" ht="13.5" customHeight="1" x14ac:dyDescent="0.2"/>
    <row r="341" customFormat="1" ht="13.5" customHeight="1" x14ac:dyDescent="0.2"/>
    <row r="342" customFormat="1" ht="13.5" customHeight="1" x14ac:dyDescent="0.2"/>
    <row r="343" customFormat="1" ht="13.5" customHeight="1" x14ac:dyDescent="0.2"/>
    <row r="344" customFormat="1" ht="13.5" customHeight="1" x14ac:dyDescent="0.2"/>
    <row r="345" customFormat="1" ht="13.5" customHeight="1" x14ac:dyDescent="0.2"/>
    <row r="346" customFormat="1" ht="13.5" customHeight="1" x14ac:dyDescent="0.2"/>
    <row r="347" customFormat="1" ht="13.5" customHeight="1" x14ac:dyDescent="0.2"/>
    <row r="348" customFormat="1" ht="13.5" customHeight="1" x14ac:dyDescent="0.2"/>
    <row r="349" customFormat="1" ht="13.5" customHeight="1" x14ac:dyDescent="0.2"/>
    <row r="350" customFormat="1" ht="13.5" customHeight="1" x14ac:dyDescent="0.2"/>
    <row r="351" customFormat="1" ht="13.5" customHeight="1" x14ac:dyDescent="0.2"/>
    <row r="352" customFormat="1" ht="13.5" customHeight="1" x14ac:dyDescent="0.2"/>
    <row r="353" customFormat="1" ht="13.5" customHeight="1" x14ac:dyDescent="0.2"/>
    <row r="354" customFormat="1" ht="13.5" customHeight="1" x14ac:dyDescent="0.2"/>
    <row r="355" customFormat="1" ht="13.5" customHeight="1" x14ac:dyDescent="0.2"/>
    <row r="356" customFormat="1" ht="13.5" customHeight="1" x14ac:dyDescent="0.2"/>
    <row r="357" customFormat="1" ht="13.5" customHeight="1" x14ac:dyDescent="0.2"/>
    <row r="358" customFormat="1" ht="13.5" customHeight="1" x14ac:dyDescent="0.2"/>
    <row r="359" customFormat="1" ht="13.5" customHeight="1" x14ac:dyDescent="0.2"/>
    <row r="360" customFormat="1" ht="13.5" customHeight="1" x14ac:dyDescent="0.2"/>
    <row r="361" customFormat="1" ht="13.5" customHeight="1" x14ac:dyDescent="0.2"/>
    <row r="362" customFormat="1" ht="13.5" customHeight="1" x14ac:dyDescent="0.2"/>
    <row r="363" customFormat="1" ht="13.5" customHeight="1" x14ac:dyDescent="0.2"/>
    <row r="364" customFormat="1" ht="13.5" customHeight="1" x14ac:dyDescent="0.2"/>
    <row r="365" customFormat="1" ht="13.5" customHeight="1" x14ac:dyDescent="0.2"/>
    <row r="366" customFormat="1" ht="13.5" customHeight="1" x14ac:dyDescent="0.2"/>
    <row r="367" customFormat="1" ht="13.5" customHeight="1" x14ac:dyDescent="0.2"/>
    <row r="368" customFormat="1" ht="13.5" customHeight="1" x14ac:dyDescent="0.2"/>
    <row r="369" customFormat="1" ht="13.5" customHeight="1" x14ac:dyDescent="0.2"/>
    <row r="370" customFormat="1" ht="13.5" customHeight="1" x14ac:dyDescent="0.2"/>
    <row r="371" customFormat="1" ht="13.5" customHeight="1" x14ac:dyDescent="0.2"/>
    <row r="372" customFormat="1" ht="13.5" customHeight="1" x14ac:dyDescent="0.2"/>
    <row r="373" customFormat="1" ht="13.5" customHeight="1" x14ac:dyDescent="0.2"/>
    <row r="374" customFormat="1" ht="13.5" customHeight="1" x14ac:dyDescent="0.2"/>
    <row r="375" customFormat="1" ht="13.5" customHeight="1" x14ac:dyDescent="0.2"/>
    <row r="376" customFormat="1" ht="13.5" customHeight="1" x14ac:dyDescent="0.2"/>
    <row r="377" customFormat="1" ht="13.5" customHeight="1" x14ac:dyDescent="0.2"/>
    <row r="378" customFormat="1" ht="13.5" customHeight="1" x14ac:dyDescent="0.2"/>
    <row r="379" customFormat="1" ht="13.5" customHeight="1" x14ac:dyDescent="0.2"/>
    <row r="380" customFormat="1" ht="13.5" customHeight="1" x14ac:dyDescent="0.2"/>
    <row r="381" customFormat="1" ht="13.5" customHeight="1" x14ac:dyDescent="0.2"/>
    <row r="382" customFormat="1" ht="13.5" customHeight="1" x14ac:dyDescent="0.2"/>
    <row r="383" customFormat="1" ht="13.5" customHeight="1" x14ac:dyDescent="0.2"/>
    <row r="384" customFormat="1" ht="13.5" customHeight="1" x14ac:dyDescent="0.2"/>
    <row r="385" customFormat="1" ht="13.5" customHeight="1" x14ac:dyDescent="0.2"/>
    <row r="386" customFormat="1" ht="13.5" customHeight="1" x14ac:dyDescent="0.2"/>
    <row r="387" customFormat="1" ht="13.5" customHeight="1" x14ac:dyDescent="0.2"/>
    <row r="388" customFormat="1" ht="13.5" customHeight="1" x14ac:dyDescent="0.2"/>
    <row r="389" customFormat="1" ht="13.5" customHeight="1" x14ac:dyDescent="0.2"/>
    <row r="390" customFormat="1" ht="13.5" customHeight="1" x14ac:dyDescent="0.2"/>
    <row r="391" customFormat="1" ht="13.5" customHeight="1" x14ac:dyDescent="0.2"/>
    <row r="392" customFormat="1" ht="13.5" customHeight="1" x14ac:dyDescent="0.2"/>
    <row r="393" customFormat="1" ht="13.5" customHeight="1" x14ac:dyDescent="0.2"/>
    <row r="394" customFormat="1" ht="13.5" customHeight="1" x14ac:dyDescent="0.2"/>
    <row r="395" customFormat="1" ht="13.5" customHeight="1" x14ac:dyDescent="0.2"/>
    <row r="396" customFormat="1" ht="13.5" customHeight="1" x14ac:dyDescent="0.2"/>
    <row r="397" customFormat="1" ht="13.5" customHeight="1" x14ac:dyDescent="0.2"/>
    <row r="398" customFormat="1" ht="13.5" customHeight="1" x14ac:dyDescent="0.2"/>
    <row r="399" customFormat="1" ht="13.5" customHeight="1" x14ac:dyDescent="0.2"/>
    <row r="400" customFormat="1" ht="13.5" customHeight="1" x14ac:dyDescent="0.2"/>
    <row r="401" customFormat="1" ht="13.5" customHeight="1" x14ac:dyDescent="0.2"/>
    <row r="402" customFormat="1" ht="13.5" customHeight="1" x14ac:dyDescent="0.2"/>
    <row r="403" customFormat="1" ht="13.5" customHeight="1" x14ac:dyDescent="0.2"/>
    <row r="404" customFormat="1" ht="13.5" customHeight="1" x14ac:dyDescent="0.2"/>
    <row r="405" customFormat="1" ht="13.5" customHeight="1" x14ac:dyDescent="0.2"/>
    <row r="406" customFormat="1" ht="13.5" customHeight="1" x14ac:dyDescent="0.2"/>
    <row r="407" customFormat="1" ht="13.5" customHeight="1" x14ac:dyDescent="0.2"/>
    <row r="408" customFormat="1" ht="13.5" customHeight="1" x14ac:dyDescent="0.2"/>
    <row r="409" customFormat="1" ht="13.5" customHeight="1" x14ac:dyDescent="0.2"/>
    <row r="410" customFormat="1" ht="13.5" customHeight="1" x14ac:dyDescent="0.2"/>
    <row r="411" customFormat="1" ht="13.5" customHeight="1" x14ac:dyDescent="0.2"/>
    <row r="412" customFormat="1" ht="13.5" customHeight="1" x14ac:dyDescent="0.2"/>
    <row r="413" customFormat="1" ht="13.5" customHeight="1" x14ac:dyDescent="0.2"/>
    <row r="414" customFormat="1" ht="13.5" customHeight="1" x14ac:dyDescent="0.2"/>
    <row r="415" customFormat="1" ht="13.5" customHeight="1" x14ac:dyDescent="0.2"/>
    <row r="416" customFormat="1" ht="13.5" customHeight="1" x14ac:dyDescent="0.2"/>
    <row r="417" customFormat="1" ht="13.5" customHeight="1" x14ac:dyDescent="0.2"/>
    <row r="418" customFormat="1" ht="13.5" customHeight="1" x14ac:dyDescent="0.2"/>
    <row r="419" customFormat="1" ht="13.5" customHeight="1" x14ac:dyDescent="0.2"/>
    <row r="420" customFormat="1" ht="13.5" customHeight="1" x14ac:dyDescent="0.2"/>
    <row r="421" customFormat="1" ht="13.5" customHeight="1" x14ac:dyDescent="0.2"/>
    <row r="422" customFormat="1" ht="13.5" customHeight="1" x14ac:dyDescent="0.2"/>
    <row r="423" customFormat="1" ht="13.5" customHeight="1" x14ac:dyDescent="0.2"/>
    <row r="424" customFormat="1" ht="13.5" customHeight="1" x14ac:dyDescent="0.2"/>
    <row r="425" customFormat="1" ht="13.5" customHeight="1" x14ac:dyDescent="0.2"/>
    <row r="426" customFormat="1" ht="13.5" customHeight="1" x14ac:dyDescent="0.2"/>
    <row r="427" customFormat="1" ht="13.5" customHeight="1" x14ac:dyDescent="0.2"/>
    <row r="428" customFormat="1" ht="13.5" customHeight="1" x14ac:dyDescent="0.2"/>
    <row r="429" customFormat="1" ht="13.5" customHeight="1" x14ac:dyDescent="0.2"/>
    <row r="430" customFormat="1" ht="13.5" customHeight="1" x14ac:dyDescent="0.2"/>
    <row r="431" customFormat="1" ht="13.5" customHeight="1" x14ac:dyDescent="0.2"/>
    <row r="432" customFormat="1" ht="13.5" customHeight="1" x14ac:dyDescent="0.2"/>
    <row r="433" customFormat="1" ht="13.5" customHeight="1" x14ac:dyDescent="0.2"/>
    <row r="434" customFormat="1" ht="13.5" customHeight="1" x14ac:dyDescent="0.2"/>
    <row r="435" customFormat="1" ht="13.5" customHeight="1" x14ac:dyDescent="0.2"/>
    <row r="436" customFormat="1" ht="13.5" customHeight="1" x14ac:dyDescent="0.2"/>
    <row r="437" customFormat="1" ht="13.5" customHeight="1" x14ac:dyDescent="0.2"/>
    <row r="438" customFormat="1" ht="13.5" customHeight="1" x14ac:dyDescent="0.2"/>
    <row r="439" customFormat="1" ht="13.5" customHeight="1" x14ac:dyDescent="0.2"/>
    <row r="440" customFormat="1" ht="13.5" customHeight="1" x14ac:dyDescent="0.2"/>
    <row r="441" customFormat="1" ht="13.5" customHeight="1" x14ac:dyDescent="0.2"/>
    <row r="442" customFormat="1" ht="13.5" customHeight="1" x14ac:dyDescent="0.2"/>
    <row r="443" customFormat="1" ht="13.5" customHeight="1" x14ac:dyDescent="0.2"/>
    <row r="444" customFormat="1" ht="13.5" customHeight="1" x14ac:dyDescent="0.2"/>
    <row r="445" customFormat="1" ht="13.5" customHeight="1" x14ac:dyDescent="0.2"/>
    <row r="446" customFormat="1" ht="13.5" customHeight="1" x14ac:dyDescent="0.2"/>
    <row r="447" customFormat="1" ht="13.5" customHeight="1" x14ac:dyDescent="0.2"/>
    <row r="448" customFormat="1" ht="13.5" customHeight="1" x14ac:dyDescent="0.2"/>
    <row r="449" customFormat="1" ht="13.5" customHeight="1" x14ac:dyDescent="0.2"/>
    <row r="450" customFormat="1" ht="13.5" customHeight="1" x14ac:dyDescent="0.2"/>
    <row r="451" customFormat="1" ht="13.5" customHeight="1" x14ac:dyDescent="0.2"/>
    <row r="452" customFormat="1" ht="13.5" customHeight="1" x14ac:dyDescent="0.2"/>
    <row r="453" customFormat="1" ht="13.5" customHeight="1" x14ac:dyDescent="0.2"/>
    <row r="454" customFormat="1" ht="13.5" customHeight="1" x14ac:dyDescent="0.2"/>
    <row r="455" customFormat="1" ht="13.5" customHeight="1" x14ac:dyDescent="0.2"/>
    <row r="456" customFormat="1" ht="13.5" customHeight="1" x14ac:dyDescent="0.2"/>
    <row r="457" customFormat="1" ht="13.5" customHeight="1" x14ac:dyDescent="0.2"/>
    <row r="458" customFormat="1" ht="13.5" customHeight="1" x14ac:dyDescent="0.2"/>
    <row r="459" customFormat="1" ht="13.5" customHeight="1" x14ac:dyDescent="0.2"/>
    <row r="460" customFormat="1" ht="13.5" customHeight="1" x14ac:dyDescent="0.2"/>
    <row r="461" customFormat="1" ht="13.5" customHeight="1" x14ac:dyDescent="0.2"/>
    <row r="462" customFormat="1" ht="13.5" customHeight="1" x14ac:dyDescent="0.2"/>
    <row r="463" customFormat="1" ht="13.5" customHeight="1" x14ac:dyDescent="0.2"/>
    <row r="464" customFormat="1" ht="13.5" customHeight="1" x14ac:dyDescent="0.2"/>
    <row r="465" customFormat="1" ht="13.5" customHeight="1" x14ac:dyDescent="0.2"/>
    <row r="466" customFormat="1" ht="13.5" customHeight="1" x14ac:dyDescent="0.2"/>
    <row r="467" customFormat="1" ht="13.5" customHeight="1" x14ac:dyDescent="0.2"/>
    <row r="468" customFormat="1" ht="13.5" customHeight="1" x14ac:dyDescent="0.2"/>
    <row r="469" customFormat="1" ht="13.5" customHeight="1" x14ac:dyDescent="0.2"/>
    <row r="470" customFormat="1" ht="13.5" customHeight="1" x14ac:dyDescent="0.2"/>
    <row r="471" customFormat="1" ht="13.5" customHeight="1" x14ac:dyDescent="0.2"/>
    <row r="472" customFormat="1" ht="13.5" customHeight="1" x14ac:dyDescent="0.2"/>
    <row r="473" customFormat="1" ht="13.5" customHeight="1" x14ac:dyDescent="0.2"/>
    <row r="474" customFormat="1" ht="13.5" customHeight="1" x14ac:dyDescent="0.2"/>
    <row r="475" customFormat="1" ht="13.5" customHeight="1" x14ac:dyDescent="0.2"/>
    <row r="476" customFormat="1" ht="13.5" customHeight="1" x14ac:dyDescent="0.2"/>
    <row r="477" customFormat="1" ht="13.5" customHeight="1" x14ac:dyDescent="0.2"/>
    <row r="478" customFormat="1" ht="13.5" customHeight="1" x14ac:dyDescent="0.2"/>
    <row r="479" customFormat="1" ht="13.5" customHeight="1" x14ac:dyDescent="0.2"/>
    <row r="480" customFormat="1" ht="13.5" customHeight="1" x14ac:dyDescent="0.2"/>
    <row r="481" customFormat="1" ht="13.5" customHeight="1" x14ac:dyDescent="0.2"/>
    <row r="482" customFormat="1" ht="13.5" customHeight="1" x14ac:dyDescent="0.2"/>
    <row r="483" customFormat="1" ht="13.5" customHeight="1" x14ac:dyDescent="0.2"/>
    <row r="484" customFormat="1" ht="13.5" customHeight="1" x14ac:dyDescent="0.2"/>
    <row r="485" customFormat="1" ht="13.5" customHeight="1" x14ac:dyDescent="0.2"/>
    <row r="486" customFormat="1" ht="13.5" customHeight="1" x14ac:dyDescent="0.2"/>
    <row r="487" customFormat="1" ht="13.5" customHeight="1" x14ac:dyDescent="0.2"/>
    <row r="488" customFormat="1" ht="13.5" customHeight="1" x14ac:dyDescent="0.2"/>
    <row r="489" customFormat="1" ht="13.5" customHeight="1" x14ac:dyDescent="0.2"/>
    <row r="490" customFormat="1" ht="13.5" customHeight="1" x14ac:dyDescent="0.2"/>
    <row r="491" customFormat="1" ht="13.5" customHeight="1" x14ac:dyDescent="0.2"/>
    <row r="492" customFormat="1" ht="13.5" customHeight="1" x14ac:dyDescent="0.2"/>
    <row r="493" customFormat="1" ht="13.5" customHeight="1" x14ac:dyDescent="0.2"/>
    <row r="494" customFormat="1" ht="13.5" customHeight="1" x14ac:dyDescent="0.2"/>
    <row r="495" customFormat="1" ht="13.5" customHeight="1" x14ac:dyDescent="0.2"/>
    <row r="496" customFormat="1" ht="13.5" customHeight="1" x14ac:dyDescent="0.2"/>
    <row r="497" customFormat="1" ht="13.5" customHeight="1" x14ac:dyDescent="0.2"/>
    <row r="498" customFormat="1" ht="13.5" customHeight="1" x14ac:dyDescent="0.2"/>
    <row r="499" customFormat="1" ht="13.5" customHeight="1" x14ac:dyDescent="0.2"/>
    <row r="500" customFormat="1" ht="13.5" customHeight="1" x14ac:dyDescent="0.2"/>
    <row r="501" customFormat="1" ht="13.5" customHeight="1" x14ac:dyDescent="0.2"/>
    <row r="502" customFormat="1" ht="13.5" customHeight="1" x14ac:dyDescent="0.2"/>
    <row r="503" customFormat="1" ht="13.5" customHeight="1" x14ac:dyDescent="0.2"/>
    <row r="504" customFormat="1" ht="13.5" customHeight="1" x14ac:dyDescent="0.2"/>
    <row r="505" customFormat="1" ht="13.5" customHeight="1" x14ac:dyDescent="0.2"/>
    <row r="506" customFormat="1" ht="13.5" customHeight="1" x14ac:dyDescent="0.2"/>
    <row r="507" customFormat="1" ht="13.5" customHeight="1" x14ac:dyDescent="0.2"/>
    <row r="508" customFormat="1" ht="13.5" customHeight="1" x14ac:dyDescent="0.2"/>
    <row r="509" customFormat="1" ht="13.5" customHeight="1" x14ac:dyDescent="0.2"/>
    <row r="510" customFormat="1" ht="13.5" customHeight="1" x14ac:dyDescent="0.2"/>
    <row r="511" customFormat="1" ht="13.5" customHeight="1" x14ac:dyDescent="0.2"/>
    <row r="512" customFormat="1" ht="13.5" customHeight="1" x14ac:dyDescent="0.2"/>
    <row r="513" customFormat="1" ht="13.5" customHeight="1" x14ac:dyDescent="0.2"/>
    <row r="514" customFormat="1" ht="13.5" customHeight="1" x14ac:dyDescent="0.2"/>
    <row r="515" customFormat="1" ht="13.5" customHeight="1" x14ac:dyDescent="0.2"/>
    <row r="516" customFormat="1" ht="13.5" customHeight="1" x14ac:dyDescent="0.2"/>
    <row r="517" customFormat="1" ht="13.5" customHeight="1" x14ac:dyDescent="0.2"/>
    <row r="518" customFormat="1" ht="13.5" customHeight="1" x14ac:dyDescent="0.2"/>
    <row r="519" customFormat="1" ht="13.5" customHeight="1" x14ac:dyDescent="0.2"/>
    <row r="520" customFormat="1" ht="13.5" customHeight="1" x14ac:dyDescent="0.2"/>
    <row r="521" customFormat="1" ht="13.5" customHeight="1" x14ac:dyDescent="0.2"/>
    <row r="522" customFormat="1" ht="13.5" customHeight="1" x14ac:dyDescent="0.2"/>
    <row r="523" customFormat="1" ht="13.5" customHeight="1" x14ac:dyDescent="0.2"/>
    <row r="524" customFormat="1" ht="13.5" customHeight="1" x14ac:dyDescent="0.2"/>
    <row r="525" customFormat="1" ht="13.5" customHeight="1" x14ac:dyDescent="0.2"/>
    <row r="526" customFormat="1" ht="13.5" customHeight="1" x14ac:dyDescent="0.2"/>
    <row r="527" customFormat="1" ht="13.5" customHeight="1" x14ac:dyDescent="0.2"/>
    <row r="528" customFormat="1" ht="13.5" customHeight="1" x14ac:dyDescent="0.2"/>
    <row r="529" customFormat="1" ht="13.5" customHeight="1" x14ac:dyDescent="0.2"/>
    <row r="530" customFormat="1" ht="13.5" customHeight="1" x14ac:dyDescent="0.2"/>
    <row r="531" customFormat="1" ht="13.5" customHeight="1" x14ac:dyDescent="0.2"/>
    <row r="532" customFormat="1" ht="13.5" customHeight="1" x14ac:dyDescent="0.2"/>
    <row r="533" customFormat="1" ht="13.5" customHeight="1" x14ac:dyDescent="0.2"/>
    <row r="534" customFormat="1" ht="13.5" customHeight="1" x14ac:dyDescent="0.2"/>
    <row r="535" customFormat="1" ht="13.5" customHeight="1" x14ac:dyDescent="0.2"/>
    <row r="536" customFormat="1" ht="13.5" customHeight="1" x14ac:dyDescent="0.2"/>
    <row r="537" customFormat="1" ht="13.5" customHeight="1" x14ac:dyDescent="0.2"/>
    <row r="538" customFormat="1" ht="13.5" customHeight="1" x14ac:dyDescent="0.2"/>
    <row r="539" customFormat="1" ht="13.5" customHeight="1" x14ac:dyDescent="0.2"/>
    <row r="540" customFormat="1" ht="13.5" customHeight="1" x14ac:dyDescent="0.2"/>
    <row r="541" customFormat="1" ht="13.5" customHeight="1" x14ac:dyDescent="0.2"/>
    <row r="542" customFormat="1" ht="13.5" customHeight="1" x14ac:dyDescent="0.2"/>
    <row r="543" customFormat="1" ht="13.5" customHeight="1" x14ac:dyDescent="0.2"/>
    <row r="544" customFormat="1" ht="13.5" customHeight="1" x14ac:dyDescent="0.2"/>
    <row r="545" customFormat="1" ht="13.5" customHeight="1" x14ac:dyDescent="0.2"/>
    <row r="546" customFormat="1" ht="13.5" customHeight="1" x14ac:dyDescent="0.2"/>
    <row r="547" customFormat="1" ht="13.5" customHeight="1" x14ac:dyDescent="0.2"/>
    <row r="548" customFormat="1" ht="13.5" customHeight="1" x14ac:dyDescent="0.2"/>
    <row r="549" customFormat="1" ht="13.5" customHeight="1" x14ac:dyDescent="0.2"/>
    <row r="550" customFormat="1" ht="13.5" customHeight="1" x14ac:dyDescent="0.2"/>
    <row r="551" customFormat="1" ht="13.5" customHeight="1" x14ac:dyDescent="0.2"/>
    <row r="552" customFormat="1" ht="13.5" customHeight="1" x14ac:dyDescent="0.2"/>
    <row r="553" customFormat="1" ht="13.5" customHeight="1" x14ac:dyDescent="0.2"/>
    <row r="554" customFormat="1" ht="13.5" customHeight="1" x14ac:dyDescent="0.2"/>
    <row r="555" customFormat="1" ht="13.5" customHeight="1" x14ac:dyDescent="0.2"/>
    <row r="556" customFormat="1" ht="13.5" customHeight="1" x14ac:dyDescent="0.2"/>
    <row r="557" customFormat="1" ht="13.5" customHeight="1" x14ac:dyDescent="0.2"/>
    <row r="558" customFormat="1" ht="13.5" customHeight="1" x14ac:dyDescent="0.2"/>
    <row r="559" customFormat="1" ht="13.5" customHeight="1" x14ac:dyDescent="0.2"/>
    <row r="560" customFormat="1" ht="13.5" customHeight="1" x14ac:dyDescent="0.2"/>
    <row r="561" customFormat="1" ht="13.5" customHeight="1" x14ac:dyDescent="0.2"/>
    <row r="562" customFormat="1" ht="13.5" customHeight="1" x14ac:dyDescent="0.2"/>
    <row r="563" customFormat="1" ht="13.5" customHeight="1" x14ac:dyDescent="0.2"/>
    <row r="564" customFormat="1" ht="13.5" customHeight="1" x14ac:dyDescent="0.2"/>
    <row r="565" customFormat="1" ht="13.5" customHeight="1" x14ac:dyDescent="0.2"/>
    <row r="566" customFormat="1" ht="13.5" customHeight="1" x14ac:dyDescent="0.2"/>
    <row r="567" customFormat="1" ht="13.5" customHeight="1" x14ac:dyDescent="0.2"/>
    <row r="568" customFormat="1" ht="13.5" customHeight="1" x14ac:dyDescent="0.2"/>
    <row r="569" customFormat="1" ht="13.5" customHeight="1" x14ac:dyDescent="0.2"/>
    <row r="570" customFormat="1" ht="13.5" customHeight="1" x14ac:dyDescent="0.2"/>
    <row r="571" customFormat="1" ht="13.5" customHeight="1" x14ac:dyDescent="0.2"/>
    <row r="572" customFormat="1" ht="13.5" customHeight="1" x14ac:dyDescent="0.2"/>
    <row r="573" customFormat="1" ht="13.5" customHeight="1" x14ac:dyDescent="0.2"/>
    <row r="574" customFormat="1" ht="13.5" customHeight="1" x14ac:dyDescent="0.2"/>
    <row r="575" customFormat="1" ht="13.5" customHeight="1" x14ac:dyDescent="0.2"/>
    <row r="576" customFormat="1" ht="13.5" customHeight="1" x14ac:dyDescent="0.2"/>
    <row r="577" customFormat="1" ht="13.5" customHeight="1" x14ac:dyDescent="0.2"/>
    <row r="578" customFormat="1" ht="13.5" customHeight="1" x14ac:dyDescent="0.2"/>
    <row r="579" customFormat="1" ht="13.5" customHeight="1" x14ac:dyDescent="0.2"/>
    <row r="580" customFormat="1" ht="13.5" customHeight="1" x14ac:dyDescent="0.2"/>
    <row r="581" customFormat="1" ht="13.5" customHeight="1" x14ac:dyDescent="0.2"/>
    <row r="582" customFormat="1" ht="13.5" customHeight="1" x14ac:dyDescent="0.2"/>
    <row r="583" customFormat="1" ht="13.5" customHeight="1" x14ac:dyDescent="0.2"/>
    <row r="584" customFormat="1" ht="13.5" customHeight="1" x14ac:dyDescent="0.2"/>
    <row r="585" customFormat="1" ht="13.5" customHeight="1" x14ac:dyDescent="0.2"/>
    <row r="586" customFormat="1" ht="13.5" customHeight="1" x14ac:dyDescent="0.2"/>
    <row r="587" customFormat="1" ht="13.5" customHeight="1" x14ac:dyDescent="0.2"/>
    <row r="588" customFormat="1" ht="13.5" customHeight="1" x14ac:dyDescent="0.2"/>
    <row r="589" customFormat="1" ht="13.5" customHeight="1" x14ac:dyDescent="0.2"/>
    <row r="590" customFormat="1" ht="13.5" customHeight="1" x14ac:dyDescent="0.2"/>
    <row r="591" customFormat="1" ht="13.5" customHeight="1" x14ac:dyDescent="0.2"/>
    <row r="592" customFormat="1" ht="13.5" customHeight="1" x14ac:dyDescent="0.2"/>
    <row r="593" customFormat="1" ht="13.5" customHeight="1" x14ac:dyDescent="0.2"/>
    <row r="594" customFormat="1" ht="13.5" customHeight="1" x14ac:dyDescent="0.2"/>
    <row r="595" customFormat="1" ht="13.5" customHeight="1" x14ac:dyDescent="0.2"/>
    <row r="596" customFormat="1" ht="13.5" customHeight="1" x14ac:dyDescent="0.2"/>
    <row r="597" customFormat="1" ht="13.5" customHeight="1" x14ac:dyDescent="0.2"/>
    <row r="598" customFormat="1" ht="13.5" customHeight="1" x14ac:dyDescent="0.2"/>
    <row r="599" customFormat="1" ht="13.5" customHeight="1" x14ac:dyDescent="0.2"/>
    <row r="600" customFormat="1" ht="13.5" customHeight="1" x14ac:dyDescent="0.2"/>
    <row r="601" customFormat="1" ht="13.5" customHeight="1" x14ac:dyDescent="0.2"/>
    <row r="602" customFormat="1" ht="13.5" customHeight="1" x14ac:dyDescent="0.2"/>
    <row r="603" customFormat="1" ht="13.5" customHeight="1" x14ac:dyDescent="0.2"/>
    <row r="604" customFormat="1" ht="13.5" customHeight="1" x14ac:dyDescent="0.2"/>
    <row r="605" customFormat="1" ht="13.5" customHeight="1" x14ac:dyDescent="0.2"/>
    <row r="606" customFormat="1" ht="13.5" customHeight="1" x14ac:dyDescent="0.2"/>
    <row r="607" customFormat="1" ht="13.5" customHeight="1" x14ac:dyDescent="0.2"/>
    <row r="608" customFormat="1" ht="13.5" customHeight="1" x14ac:dyDescent="0.2"/>
    <row r="609" customFormat="1" ht="13.5" customHeight="1" x14ac:dyDescent="0.2"/>
    <row r="610" customFormat="1" ht="13.5" customHeight="1" x14ac:dyDescent="0.2"/>
    <row r="611" customFormat="1" ht="13.5" customHeight="1" x14ac:dyDescent="0.2"/>
    <row r="612" customFormat="1" ht="13.5" customHeight="1" x14ac:dyDescent="0.2"/>
    <row r="613" customFormat="1" ht="13.5" customHeight="1" x14ac:dyDescent="0.2"/>
    <row r="614" customFormat="1" ht="13.5" customHeight="1" x14ac:dyDescent="0.2"/>
    <row r="615" customFormat="1" ht="13.5" customHeight="1" x14ac:dyDescent="0.2"/>
    <row r="616" customFormat="1" ht="13.5" customHeight="1" x14ac:dyDescent="0.2"/>
    <row r="617" customFormat="1" ht="13.5" customHeight="1" x14ac:dyDescent="0.2"/>
    <row r="618" customFormat="1" ht="13.5" customHeight="1" x14ac:dyDescent="0.2"/>
    <row r="619" customFormat="1" ht="13.5" customHeight="1" x14ac:dyDescent="0.2"/>
    <row r="620" customFormat="1" ht="13.5" customHeight="1" x14ac:dyDescent="0.2"/>
    <row r="621" customFormat="1" ht="13.5" customHeight="1" x14ac:dyDescent="0.2"/>
    <row r="622" customFormat="1" ht="13.5" customHeight="1" x14ac:dyDescent="0.2"/>
    <row r="623" customFormat="1" ht="13.5" customHeight="1" x14ac:dyDescent="0.2"/>
    <row r="624" customFormat="1" ht="13.5" customHeight="1" x14ac:dyDescent="0.2"/>
    <row r="625" customFormat="1" ht="13.5" customHeight="1" x14ac:dyDescent="0.2"/>
    <row r="626" customFormat="1" ht="13.5" customHeight="1" x14ac:dyDescent="0.2"/>
    <row r="627" customFormat="1" ht="13.5" customHeight="1" x14ac:dyDescent="0.2"/>
    <row r="628" customFormat="1" ht="13.5" customHeight="1" x14ac:dyDescent="0.2"/>
    <row r="629" customFormat="1" ht="13.5" customHeight="1" x14ac:dyDescent="0.2"/>
    <row r="630" customFormat="1" ht="13.5" customHeight="1" x14ac:dyDescent="0.2"/>
    <row r="631" customFormat="1" ht="13.5" customHeight="1" x14ac:dyDescent="0.2"/>
    <row r="632" customFormat="1" ht="13.5" customHeight="1" x14ac:dyDescent="0.2"/>
    <row r="633" customFormat="1" ht="13.5" customHeight="1" x14ac:dyDescent="0.2"/>
    <row r="634" customFormat="1" ht="13.5" customHeight="1" x14ac:dyDescent="0.2"/>
    <row r="635" customFormat="1" ht="13.5" customHeight="1" x14ac:dyDescent="0.2"/>
    <row r="636" customFormat="1" ht="13.5" customHeight="1" x14ac:dyDescent="0.2"/>
    <row r="637" customFormat="1" ht="13.5" customHeight="1" x14ac:dyDescent="0.2"/>
    <row r="638" customFormat="1" ht="13.5" customHeight="1" x14ac:dyDescent="0.2"/>
    <row r="639" customFormat="1" ht="13.5" customHeight="1" x14ac:dyDescent="0.2"/>
    <row r="640" customFormat="1" ht="13.5" customHeight="1" x14ac:dyDescent="0.2"/>
    <row r="641" customFormat="1" ht="13.5" customHeight="1" x14ac:dyDescent="0.2"/>
    <row r="642" customFormat="1" ht="13.5" customHeight="1" x14ac:dyDescent="0.2"/>
    <row r="643" customFormat="1" ht="13.5" customHeight="1" x14ac:dyDescent="0.2"/>
    <row r="644" customFormat="1" ht="13.5" customHeight="1" x14ac:dyDescent="0.2"/>
    <row r="645" customFormat="1" ht="13.5" customHeight="1" x14ac:dyDescent="0.2"/>
    <row r="646" customFormat="1" ht="13.5" customHeight="1" x14ac:dyDescent="0.2"/>
    <row r="647" customFormat="1" ht="13.5" customHeight="1" x14ac:dyDescent="0.2"/>
    <row r="648" customFormat="1" ht="13.5" customHeight="1" x14ac:dyDescent="0.2"/>
    <row r="649" customFormat="1" ht="13.5" customHeight="1" x14ac:dyDescent="0.2"/>
    <row r="650" customFormat="1" ht="13.5" customHeight="1" x14ac:dyDescent="0.2"/>
    <row r="651" customFormat="1" ht="13.5" customHeight="1" x14ac:dyDescent="0.2"/>
    <row r="652" customFormat="1" ht="13.5" customHeight="1" x14ac:dyDescent="0.2"/>
    <row r="653" customFormat="1" ht="13.5" customHeight="1" x14ac:dyDescent="0.2"/>
    <row r="654" customFormat="1" ht="13.5" customHeight="1" x14ac:dyDescent="0.2"/>
    <row r="655" customFormat="1" ht="13.5" customHeight="1" x14ac:dyDescent="0.2"/>
    <row r="656" customFormat="1" ht="13.5" customHeight="1" x14ac:dyDescent="0.2"/>
    <row r="657" customFormat="1" ht="13.5" customHeight="1" x14ac:dyDescent="0.2"/>
    <row r="658" customFormat="1" ht="13.5" customHeight="1" x14ac:dyDescent="0.2"/>
    <row r="659" customFormat="1" ht="13.5" customHeight="1" x14ac:dyDescent="0.2"/>
    <row r="660" customFormat="1" ht="13.5" customHeight="1" x14ac:dyDescent="0.2"/>
    <row r="661" customFormat="1" ht="13.5" customHeight="1" x14ac:dyDescent="0.2"/>
    <row r="662" customFormat="1" ht="13.5" customHeight="1" x14ac:dyDescent="0.2"/>
    <row r="663" customFormat="1" ht="13.5" customHeight="1" x14ac:dyDescent="0.2"/>
    <row r="664" customFormat="1" ht="13.5" customHeight="1" x14ac:dyDescent="0.2"/>
    <row r="665" customFormat="1" ht="13.5" customHeight="1" x14ac:dyDescent="0.2"/>
    <row r="666" customFormat="1" ht="13.5" customHeight="1" x14ac:dyDescent="0.2"/>
    <row r="667" customFormat="1" ht="13.5" customHeight="1" x14ac:dyDescent="0.2"/>
    <row r="668" customFormat="1" ht="13.5" customHeight="1" x14ac:dyDescent="0.2"/>
    <row r="669" customFormat="1" ht="13.5" customHeight="1" x14ac:dyDescent="0.2"/>
    <row r="670" customFormat="1" ht="13.5" customHeight="1" x14ac:dyDescent="0.2"/>
    <row r="671" customFormat="1" ht="13.5" customHeight="1" x14ac:dyDescent="0.2"/>
    <row r="672" customFormat="1" ht="13.5" customHeight="1" x14ac:dyDescent="0.2"/>
    <row r="673" customFormat="1" ht="13.5" customHeight="1" x14ac:dyDescent="0.2"/>
    <row r="674" customFormat="1" ht="13.5" customHeight="1" x14ac:dyDescent="0.2"/>
    <row r="675" customFormat="1" ht="13.5" customHeight="1" x14ac:dyDescent="0.2"/>
    <row r="676" customFormat="1" ht="13.5" customHeight="1" x14ac:dyDescent="0.2"/>
    <row r="677" customFormat="1" ht="13.5" customHeight="1" x14ac:dyDescent="0.2"/>
    <row r="678" customFormat="1" ht="13.5" customHeight="1" x14ac:dyDescent="0.2"/>
    <row r="679" customFormat="1" ht="13.5" customHeight="1" x14ac:dyDescent="0.2"/>
    <row r="680" customFormat="1" ht="13.5" customHeight="1" x14ac:dyDescent="0.2"/>
    <row r="681" customFormat="1" ht="13.5" customHeight="1" x14ac:dyDescent="0.2"/>
    <row r="682" customFormat="1" ht="13.5" customHeight="1" x14ac:dyDescent="0.2"/>
    <row r="683" customFormat="1" ht="13.5" customHeight="1" x14ac:dyDescent="0.2"/>
    <row r="684" customFormat="1" ht="13.5" customHeight="1" x14ac:dyDescent="0.2"/>
    <row r="685" customFormat="1" ht="13.5" customHeight="1" x14ac:dyDescent="0.2"/>
    <row r="686" customFormat="1" ht="13.5" customHeight="1" x14ac:dyDescent="0.2"/>
    <row r="687" customFormat="1" ht="13.5" customHeight="1" x14ac:dyDescent="0.2"/>
    <row r="688" customFormat="1" ht="13.5" customHeight="1" x14ac:dyDescent="0.2"/>
    <row r="689" customFormat="1" ht="13.5" customHeight="1" x14ac:dyDescent="0.2"/>
    <row r="690" customFormat="1" ht="13.5" customHeight="1" x14ac:dyDescent="0.2"/>
    <row r="691" customFormat="1" ht="13.5" customHeight="1" x14ac:dyDescent="0.2"/>
    <row r="692" customFormat="1" ht="13.5" customHeight="1" x14ac:dyDescent="0.2"/>
    <row r="693" customFormat="1" ht="13.5" customHeight="1" x14ac:dyDescent="0.2"/>
    <row r="694" customFormat="1" ht="13.5" customHeight="1" x14ac:dyDescent="0.2"/>
    <row r="695" customFormat="1" ht="13.5" customHeight="1" x14ac:dyDescent="0.2"/>
    <row r="696" customFormat="1" ht="13.5" customHeight="1" x14ac:dyDescent="0.2"/>
    <row r="697" customFormat="1" ht="13.5" customHeight="1" x14ac:dyDescent="0.2"/>
    <row r="698" customFormat="1" ht="13.5" customHeight="1" x14ac:dyDescent="0.2"/>
    <row r="699" customFormat="1" ht="13.5" customHeight="1" x14ac:dyDescent="0.2"/>
    <row r="700" customFormat="1" ht="13.5" customHeight="1" x14ac:dyDescent="0.2"/>
    <row r="701" customFormat="1" ht="13.5" customHeight="1" x14ac:dyDescent="0.2"/>
    <row r="702" customFormat="1" ht="13.5" customHeight="1" x14ac:dyDescent="0.2"/>
    <row r="703" customFormat="1" ht="13.5" customHeight="1" x14ac:dyDescent="0.2"/>
    <row r="704" customFormat="1" ht="13.5" customHeight="1" x14ac:dyDescent="0.2"/>
    <row r="705" customFormat="1" ht="13.5" customHeight="1" x14ac:dyDescent="0.2"/>
    <row r="706" customFormat="1" ht="13.5" customHeight="1" x14ac:dyDescent="0.2"/>
    <row r="707" customFormat="1" ht="13.5" customHeight="1" x14ac:dyDescent="0.2"/>
    <row r="708" customFormat="1" ht="13.5" customHeight="1" x14ac:dyDescent="0.2"/>
    <row r="709" customFormat="1" ht="13.5" customHeight="1" x14ac:dyDescent="0.2"/>
    <row r="710" customFormat="1" ht="13.5" customHeight="1" x14ac:dyDescent="0.2"/>
    <row r="711" customFormat="1" ht="13.5" customHeight="1" x14ac:dyDescent="0.2"/>
    <row r="712" customFormat="1" ht="13.5" customHeight="1" x14ac:dyDescent="0.2"/>
    <row r="713" customFormat="1" ht="13.5" customHeight="1" x14ac:dyDescent="0.2"/>
    <row r="714" customFormat="1" ht="13.5" customHeight="1" x14ac:dyDescent="0.2"/>
    <row r="715" customFormat="1" ht="13.5" customHeight="1" x14ac:dyDescent="0.2"/>
    <row r="716" customFormat="1" ht="13.5" customHeight="1" x14ac:dyDescent="0.2"/>
    <row r="717" customFormat="1" ht="13.5" customHeight="1" x14ac:dyDescent="0.2"/>
    <row r="718" customFormat="1" ht="13.5" customHeight="1" x14ac:dyDescent="0.2"/>
    <row r="719" customFormat="1" ht="13.5" customHeight="1" x14ac:dyDescent="0.2"/>
    <row r="720" customFormat="1" ht="13.5" customHeight="1" x14ac:dyDescent="0.2"/>
    <row r="721" customFormat="1" ht="13.5" customHeight="1" x14ac:dyDescent="0.2"/>
    <row r="722" customFormat="1" ht="13.5" customHeight="1" x14ac:dyDescent="0.2"/>
    <row r="723" customFormat="1" ht="13.5" customHeight="1" x14ac:dyDescent="0.2"/>
    <row r="724" customFormat="1" ht="13.5" customHeight="1" x14ac:dyDescent="0.2"/>
    <row r="725" customFormat="1" ht="13.5" customHeight="1" x14ac:dyDescent="0.2"/>
    <row r="726" customFormat="1" ht="13.5" customHeight="1" x14ac:dyDescent="0.2"/>
    <row r="727" customFormat="1" ht="13.5" customHeight="1" x14ac:dyDescent="0.2"/>
    <row r="728" customFormat="1" ht="13.5" customHeight="1" x14ac:dyDescent="0.2"/>
    <row r="729" customFormat="1" ht="13.5" customHeight="1" x14ac:dyDescent="0.2"/>
    <row r="730" customFormat="1" ht="13.5" customHeight="1" x14ac:dyDescent="0.2"/>
    <row r="731" customFormat="1" ht="13.5" customHeight="1" x14ac:dyDescent="0.2"/>
    <row r="732" customFormat="1" ht="13.5" customHeight="1" x14ac:dyDescent="0.2"/>
    <row r="733" customFormat="1" ht="13.5" customHeight="1" x14ac:dyDescent="0.2"/>
    <row r="734" customFormat="1" ht="13.5" customHeight="1" x14ac:dyDescent="0.2"/>
    <row r="735" customFormat="1" ht="13.5" customHeight="1" x14ac:dyDescent="0.2"/>
    <row r="736" customFormat="1" ht="13.5" customHeight="1" x14ac:dyDescent="0.2"/>
    <row r="737" customFormat="1" ht="13.5" customHeight="1" x14ac:dyDescent="0.2"/>
    <row r="738" customFormat="1" ht="13.5" customHeight="1" x14ac:dyDescent="0.2"/>
    <row r="739" customFormat="1" ht="13.5" customHeight="1" x14ac:dyDescent="0.2"/>
    <row r="740" customFormat="1" ht="13.5" customHeight="1" x14ac:dyDescent="0.2"/>
    <row r="741" customFormat="1" ht="13.5" customHeight="1" x14ac:dyDescent="0.2"/>
    <row r="742" customFormat="1" ht="13.5" customHeight="1" x14ac:dyDescent="0.2"/>
    <row r="743" customFormat="1" ht="13.5" customHeight="1" x14ac:dyDescent="0.2"/>
    <row r="744" customFormat="1" ht="13.5" customHeight="1" x14ac:dyDescent="0.2"/>
    <row r="745" customFormat="1" ht="13.5" customHeight="1" x14ac:dyDescent="0.2"/>
    <row r="746" customFormat="1" ht="13.5" customHeight="1" x14ac:dyDescent="0.2"/>
    <row r="747" customFormat="1" ht="13.5" customHeight="1" x14ac:dyDescent="0.2"/>
    <row r="748" customFormat="1" ht="13.5" customHeight="1" x14ac:dyDescent="0.2"/>
    <row r="749" customFormat="1" ht="13.5" customHeight="1" x14ac:dyDescent="0.2"/>
    <row r="750" customFormat="1" ht="13.5" customHeight="1" x14ac:dyDescent="0.2"/>
    <row r="751" customFormat="1" ht="13.5" customHeight="1" x14ac:dyDescent="0.2"/>
    <row r="752" customFormat="1" ht="13.5" customHeight="1" x14ac:dyDescent="0.2"/>
    <row r="753" customFormat="1" ht="13.5" customHeight="1" x14ac:dyDescent="0.2"/>
    <row r="754" customFormat="1" ht="13.5" customHeight="1" x14ac:dyDescent="0.2"/>
    <row r="755" customFormat="1" ht="13.5" customHeight="1" x14ac:dyDescent="0.2"/>
    <row r="756" customFormat="1" ht="13.5" customHeight="1" x14ac:dyDescent="0.2"/>
    <row r="757" customFormat="1" ht="13.5" customHeight="1" x14ac:dyDescent="0.2"/>
    <row r="758" customFormat="1" ht="13.5" customHeight="1" x14ac:dyDescent="0.2"/>
    <row r="759" customFormat="1" ht="13.5" customHeight="1" x14ac:dyDescent="0.2"/>
    <row r="760" customFormat="1" ht="13.5" customHeight="1" x14ac:dyDescent="0.2"/>
    <row r="761" customFormat="1" ht="13.5" customHeight="1" x14ac:dyDescent="0.2"/>
    <row r="762" customFormat="1" ht="13.5" customHeight="1" x14ac:dyDescent="0.2"/>
    <row r="763" customFormat="1" ht="13.5" customHeight="1" x14ac:dyDescent="0.2"/>
    <row r="764" customFormat="1" ht="13.5" customHeight="1" x14ac:dyDescent="0.2"/>
    <row r="765" customFormat="1" ht="13.5" customHeight="1" x14ac:dyDescent="0.2"/>
    <row r="766" customFormat="1" ht="13.5" customHeight="1" x14ac:dyDescent="0.2"/>
    <row r="767" customFormat="1" ht="13.5" customHeight="1" x14ac:dyDescent="0.2"/>
    <row r="768" customFormat="1" ht="13.5" customHeight="1" x14ac:dyDescent="0.2"/>
    <row r="769" customFormat="1" ht="13.5" customHeight="1" x14ac:dyDescent="0.2"/>
    <row r="770" customFormat="1" ht="13.5" customHeight="1" x14ac:dyDescent="0.2"/>
    <row r="771" customFormat="1" ht="13.5" customHeight="1" x14ac:dyDescent="0.2"/>
    <row r="772" customFormat="1" ht="13.5" customHeight="1" x14ac:dyDescent="0.2"/>
    <row r="773" customFormat="1" ht="13.5" customHeight="1" x14ac:dyDescent="0.2"/>
    <row r="774" customFormat="1" ht="13.5" customHeight="1" x14ac:dyDescent="0.2"/>
    <row r="775" customFormat="1" ht="13.5" customHeight="1" x14ac:dyDescent="0.2"/>
    <row r="776" customFormat="1" ht="13.5" customHeight="1" x14ac:dyDescent="0.2"/>
    <row r="777" customFormat="1" ht="13.5" customHeight="1" x14ac:dyDescent="0.2"/>
    <row r="778" customFormat="1" ht="13.5" customHeight="1" x14ac:dyDescent="0.2"/>
    <row r="779" customFormat="1" ht="13.5" customHeight="1" x14ac:dyDescent="0.2"/>
    <row r="780" customFormat="1" ht="13.5" customHeight="1" x14ac:dyDescent="0.2"/>
    <row r="781" customFormat="1" ht="13.5" customHeight="1" x14ac:dyDescent="0.2"/>
    <row r="782" customFormat="1" ht="13.5" customHeight="1" x14ac:dyDescent="0.2"/>
    <row r="783" customFormat="1" ht="13.5" customHeight="1" x14ac:dyDescent="0.2"/>
    <row r="784" customFormat="1" ht="13.5" customHeight="1" x14ac:dyDescent="0.2"/>
    <row r="785" customFormat="1" ht="13.5" customHeight="1" x14ac:dyDescent="0.2"/>
    <row r="786" customFormat="1" ht="13.5" customHeight="1" x14ac:dyDescent="0.2"/>
    <row r="787" customFormat="1" ht="13.5" customHeight="1" x14ac:dyDescent="0.2"/>
    <row r="788" customFormat="1" ht="13.5" customHeight="1" x14ac:dyDescent="0.2"/>
    <row r="789" customFormat="1" ht="13.5" customHeight="1" x14ac:dyDescent="0.2"/>
    <row r="790" customFormat="1" ht="13.5" customHeight="1" x14ac:dyDescent="0.2"/>
    <row r="791" customFormat="1" ht="13.5" customHeight="1" x14ac:dyDescent="0.2"/>
    <row r="792" customFormat="1" ht="13.5" customHeight="1" x14ac:dyDescent="0.2"/>
    <row r="793" customFormat="1" ht="13.5" customHeight="1" x14ac:dyDescent="0.2"/>
    <row r="794" customFormat="1" ht="13.5" customHeight="1" x14ac:dyDescent="0.2"/>
    <row r="795" customFormat="1" ht="13.5" customHeight="1" x14ac:dyDescent="0.2"/>
    <row r="796" customFormat="1" ht="13.5" customHeight="1" x14ac:dyDescent="0.2"/>
    <row r="797" customFormat="1" ht="13.5" customHeight="1" x14ac:dyDescent="0.2"/>
    <row r="798" customFormat="1" ht="13.5" customHeight="1" x14ac:dyDescent="0.2"/>
    <row r="799" customFormat="1" ht="13.5" customHeight="1" x14ac:dyDescent="0.2"/>
    <row r="800" customFormat="1" ht="13.5" customHeight="1" x14ac:dyDescent="0.2"/>
    <row r="801" customFormat="1" ht="13.5" customHeight="1" x14ac:dyDescent="0.2"/>
    <row r="802" customFormat="1" ht="13.5" customHeight="1" x14ac:dyDescent="0.2"/>
    <row r="803" customFormat="1" ht="13.5" customHeight="1" x14ac:dyDescent="0.2"/>
    <row r="804" customFormat="1" ht="13.5" customHeight="1" x14ac:dyDescent="0.2"/>
    <row r="805" customFormat="1" ht="13.5" customHeight="1" x14ac:dyDescent="0.2"/>
    <row r="806" customFormat="1" ht="13.5" customHeight="1" x14ac:dyDescent="0.2"/>
    <row r="807" customFormat="1" ht="13.5" customHeight="1" x14ac:dyDescent="0.2"/>
    <row r="808" customFormat="1" ht="13.5" customHeight="1" x14ac:dyDescent="0.2"/>
    <row r="809" customFormat="1" ht="13.5" customHeight="1" x14ac:dyDescent="0.2"/>
    <row r="810" customFormat="1" ht="13.5" customHeight="1" x14ac:dyDescent="0.2"/>
    <row r="811" customFormat="1" ht="13.5" customHeight="1" x14ac:dyDescent="0.2"/>
    <row r="812" customFormat="1" ht="13.5" customHeight="1" x14ac:dyDescent="0.2"/>
    <row r="813" customFormat="1" ht="13.5" customHeight="1" x14ac:dyDescent="0.2"/>
    <row r="814" customFormat="1" ht="13.5" customHeight="1" x14ac:dyDescent="0.2"/>
    <row r="815" customFormat="1" ht="13.5" customHeight="1" x14ac:dyDescent="0.2"/>
    <row r="816" customFormat="1" ht="13.5" customHeight="1" x14ac:dyDescent="0.2"/>
    <row r="817" customFormat="1" ht="13.5" customHeight="1" x14ac:dyDescent="0.2"/>
    <row r="818" customFormat="1" ht="13.5" customHeight="1" x14ac:dyDescent="0.2"/>
    <row r="819" customFormat="1" ht="13.5" customHeight="1" x14ac:dyDescent="0.2"/>
    <row r="820" customFormat="1" ht="13.5" customHeight="1" x14ac:dyDescent="0.2"/>
    <row r="821" customFormat="1" ht="13.5" customHeight="1" x14ac:dyDescent="0.2"/>
    <row r="822" customFormat="1" ht="13.5" customHeight="1" x14ac:dyDescent="0.2"/>
    <row r="823" customFormat="1" ht="13.5" customHeight="1" x14ac:dyDescent="0.2"/>
    <row r="824" customFormat="1" ht="13.5" customHeight="1" x14ac:dyDescent="0.2"/>
    <row r="825" customFormat="1" ht="13.5" customHeight="1" x14ac:dyDescent="0.2"/>
    <row r="826" customFormat="1" ht="13.5" customHeight="1" x14ac:dyDescent="0.2"/>
    <row r="827" customFormat="1" ht="13.5" customHeight="1" x14ac:dyDescent="0.2"/>
    <row r="828" customFormat="1" ht="13.5" customHeight="1" x14ac:dyDescent="0.2"/>
    <row r="829" customFormat="1" ht="13.5" customHeight="1" x14ac:dyDescent="0.2"/>
    <row r="830" customFormat="1" ht="13.5" customHeight="1" x14ac:dyDescent="0.2"/>
    <row r="831" customFormat="1" ht="13.5" customHeight="1" x14ac:dyDescent="0.2"/>
    <row r="832" customFormat="1" ht="13.5" customHeight="1" x14ac:dyDescent="0.2"/>
    <row r="833" customFormat="1" ht="13.5" customHeight="1" x14ac:dyDescent="0.2"/>
    <row r="834" customFormat="1" ht="13.5" customHeight="1" x14ac:dyDescent="0.2"/>
    <row r="835" customFormat="1" ht="13.5" customHeight="1" x14ac:dyDescent="0.2"/>
    <row r="836" customFormat="1" ht="13.5" customHeight="1" x14ac:dyDescent="0.2"/>
    <row r="837" customFormat="1" ht="13.5" customHeight="1" x14ac:dyDescent="0.2"/>
    <row r="838" customFormat="1" ht="13.5" customHeight="1" x14ac:dyDescent="0.2"/>
    <row r="839" customFormat="1" ht="13.5" customHeight="1" x14ac:dyDescent="0.2"/>
    <row r="840" customFormat="1" ht="13.5" customHeight="1" x14ac:dyDescent="0.2"/>
    <row r="841" customFormat="1" ht="13.5" customHeight="1" x14ac:dyDescent="0.2"/>
    <row r="842" customFormat="1" ht="13.5" customHeight="1" x14ac:dyDescent="0.2"/>
    <row r="843" customFormat="1" ht="13.5" customHeight="1" x14ac:dyDescent="0.2"/>
    <row r="844" customFormat="1" ht="13.5" customHeight="1" x14ac:dyDescent="0.2"/>
    <row r="845" customFormat="1" ht="13.5" customHeight="1" x14ac:dyDescent="0.2"/>
    <row r="846" customFormat="1" ht="13.5" customHeight="1" x14ac:dyDescent="0.2"/>
    <row r="847" customFormat="1" ht="13.5" customHeight="1" x14ac:dyDescent="0.2"/>
    <row r="848" customFormat="1" ht="13.5" customHeight="1" x14ac:dyDescent="0.2"/>
    <row r="849" customFormat="1" ht="13.5" customHeight="1" x14ac:dyDescent="0.2"/>
    <row r="850" customFormat="1" ht="13.5" customHeight="1" x14ac:dyDescent="0.2"/>
    <row r="851" customFormat="1" ht="13.5" customHeight="1" x14ac:dyDescent="0.2"/>
    <row r="852" customFormat="1" ht="13.5" customHeight="1" x14ac:dyDescent="0.2"/>
    <row r="853" customFormat="1" ht="13.5" customHeight="1" x14ac:dyDescent="0.2"/>
    <row r="854" customFormat="1" ht="13.5" customHeight="1" x14ac:dyDescent="0.2"/>
    <row r="855" customFormat="1" ht="13.5" customHeight="1" x14ac:dyDescent="0.2"/>
    <row r="856" customFormat="1" ht="13.5" customHeight="1" x14ac:dyDescent="0.2"/>
    <row r="857" customFormat="1" ht="13.5" customHeight="1" x14ac:dyDescent="0.2"/>
    <row r="858" customFormat="1" ht="13.5" customHeight="1" x14ac:dyDescent="0.2"/>
    <row r="859" customFormat="1" ht="13.5" customHeight="1" x14ac:dyDescent="0.2"/>
    <row r="860" customFormat="1" ht="13.5" customHeight="1" x14ac:dyDescent="0.2"/>
    <row r="861" customFormat="1" ht="13.5" customHeight="1" x14ac:dyDescent="0.2"/>
    <row r="862" customFormat="1" ht="13.5" customHeight="1" x14ac:dyDescent="0.2"/>
    <row r="863" customFormat="1" ht="13.5" customHeight="1" x14ac:dyDescent="0.2"/>
    <row r="864" customFormat="1" ht="13.5" customHeight="1" x14ac:dyDescent="0.2"/>
    <row r="865" customFormat="1" ht="13.5" customHeight="1" x14ac:dyDescent="0.2"/>
    <row r="866" customFormat="1" ht="13.5" customHeight="1" x14ac:dyDescent="0.2"/>
    <row r="867" customFormat="1" ht="13.5" customHeight="1" x14ac:dyDescent="0.2"/>
    <row r="868" customFormat="1" ht="13.5" customHeight="1" x14ac:dyDescent="0.2"/>
    <row r="869" customFormat="1" ht="13.5" customHeight="1" x14ac:dyDescent="0.2"/>
    <row r="870" customFormat="1" ht="13.5" customHeight="1" x14ac:dyDescent="0.2"/>
    <row r="871" customFormat="1" ht="13.5" customHeight="1" x14ac:dyDescent="0.2"/>
    <row r="872" customFormat="1" ht="13.5" customHeight="1" x14ac:dyDescent="0.2"/>
    <row r="873" customFormat="1" ht="13.5" customHeight="1" x14ac:dyDescent="0.2"/>
    <row r="874" customFormat="1" ht="13.5" customHeight="1" x14ac:dyDescent="0.2"/>
    <row r="875" customFormat="1" ht="13.5" customHeight="1" x14ac:dyDescent="0.2"/>
    <row r="876" customFormat="1" ht="13.5" customHeight="1" x14ac:dyDescent="0.2"/>
    <row r="877" customFormat="1" ht="13.5" customHeight="1" x14ac:dyDescent="0.2"/>
    <row r="878" customFormat="1" ht="13.5" customHeight="1" x14ac:dyDescent="0.2"/>
    <row r="879" customFormat="1" ht="13.5" customHeight="1" x14ac:dyDescent="0.2"/>
    <row r="880" customFormat="1" ht="13.5" customHeight="1" x14ac:dyDescent="0.2"/>
    <row r="881" customFormat="1" ht="13.5" customHeight="1" x14ac:dyDescent="0.2"/>
    <row r="882" customFormat="1" ht="13.5" customHeight="1" x14ac:dyDescent="0.2"/>
    <row r="883" customFormat="1" ht="13.5" customHeight="1" x14ac:dyDescent="0.2"/>
    <row r="884" customFormat="1" ht="13.5" customHeight="1" x14ac:dyDescent="0.2"/>
    <row r="885" customFormat="1" ht="13.5" customHeight="1" x14ac:dyDescent="0.2"/>
    <row r="886" customFormat="1" ht="13.5" customHeight="1" x14ac:dyDescent="0.2"/>
    <row r="887" customFormat="1" ht="13.5" customHeight="1" x14ac:dyDescent="0.2"/>
    <row r="888" customFormat="1" ht="13.5" customHeight="1" x14ac:dyDescent="0.2"/>
    <row r="889" customFormat="1" ht="13.5" customHeight="1" x14ac:dyDescent="0.2"/>
    <row r="890" customFormat="1" ht="13.5" customHeight="1" x14ac:dyDescent="0.2"/>
    <row r="891" customFormat="1" ht="13.5" customHeight="1" x14ac:dyDescent="0.2"/>
    <row r="892" customFormat="1" ht="13.5" customHeight="1" x14ac:dyDescent="0.2"/>
    <row r="893" customFormat="1" ht="13.5" customHeight="1" x14ac:dyDescent="0.2"/>
    <row r="894" customFormat="1" ht="13.5" customHeight="1" x14ac:dyDescent="0.2"/>
    <row r="895" customFormat="1" ht="13.5" customHeight="1" x14ac:dyDescent="0.2"/>
    <row r="896" customFormat="1" ht="13.5" customHeight="1" x14ac:dyDescent="0.2"/>
    <row r="897" customFormat="1" ht="13.5" customHeight="1" x14ac:dyDescent="0.2"/>
    <row r="898" customFormat="1" ht="13.5" customHeight="1" x14ac:dyDescent="0.2"/>
    <row r="899" customFormat="1" ht="13.5" customHeight="1" x14ac:dyDescent="0.2"/>
    <row r="900" customFormat="1" ht="13.5" customHeight="1" x14ac:dyDescent="0.2"/>
    <row r="901" customFormat="1" ht="13.5" customHeight="1" x14ac:dyDescent="0.2"/>
    <row r="902" customFormat="1" ht="13.5" customHeight="1" x14ac:dyDescent="0.2"/>
    <row r="903" customFormat="1" ht="13.5" customHeight="1" x14ac:dyDescent="0.2"/>
    <row r="904" customFormat="1" ht="13.5" customHeight="1" x14ac:dyDescent="0.2"/>
    <row r="905" customFormat="1" ht="13.5" customHeight="1" x14ac:dyDescent="0.2"/>
    <row r="906" customFormat="1" ht="13.5" customHeight="1" x14ac:dyDescent="0.2"/>
    <row r="907" customFormat="1" ht="13.5" customHeight="1" x14ac:dyDescent="0.2"/>
    <row r="908" customFormat="1" ht="13.5" customHeight="1" x14ac:dyDescent="0.2"/>
    <row r="909" customFormat="1" ht="13.5" customHeight="1" x14ac:dyDescent="0.2"/>
    <row r="910" customFormat="1" ht="13.5" customHeight="1" x14ac:dyDescent="0.2"/>
    <row r="911" customFormat="1" ht="13.5" customHeight="1" x14ac:dyDescent="0.2"/>
    <row r="912" customFormat="1" ht="13.5" customHeight="1" x14ac:dyDescent="0.2"/>
    <row r="913" customFormat="1" ht="13.5" customHeight="1" x14ac:dyDescent="0.2"/>
    <row r="914" customFormat="1" ht="13.5" customHeight="1" x14ac:dyDescent="0.2"/>
    <row r="915" customFormat="1" ht="13.5" customHeight="1" x14ac:dyDescent="0.2"/>
    <row r="916" customFormat="1" ht="13.5" customHeight="1" x14ac:dyDescent="0.2"/>
    <row r="917" customFormat="1" ht="13.5" customHeight="1" x14ac:dyDescent="0.2"/>
    <row r="918" customFormat="1" ht="13.5" customHeight="1" x14ac:dyDescent="0.2"/>
    <row r="919" customFormat="1" ht="13.5" customHeight="1" x14ac:dyDescent="0.2"/>
    <row r="920" customFormat="1" ht="13.5" customHeight="1" x14ac:dyDescent="0.2"/>
    <row r="921" customFormat="1" ht="13.5" customHeight="1" x14ac:dyDescent="0.2"/>
    <row r="922" customFormat="1" ht="13.5" customHeight="1" x14ac:dyDescent="0.2"/>
    <row r="923" customFormat="1" ht="13.5" customHeight="1" x14ac:dyDescent="0.2"/>
    <row r="924" customFormat="1" ht="13.5" customHeight="1" x14ac:dyDescent="0.2"/>
    <row r="925" customFormat="1" ht="13.5" customHeight="1" x14ac:dyDescent="0.2"/>
    <row r="926" customFormat="1" ht="13.5" customHeight="1" x14ac:dyDescent="0.2"/>
    <row r="927" customFormat="1" ht="13.5" customHeight="1" x14ac:dyDescent="0.2"/>
    <row r="928" customFormat="1" ht="13.5" customHeight="1" x14ac:dyDescent="0.2"/>
    <row r="929" customFormat="1" ht="13.5" customHeight="1" x14ac:dyDescent="0.2"/>
    <row r="930" customFormat="1" ht="13.5" customHeight="1" x14ac:dyDescent="0.2"/>
    <row r="931" customFormat="1" ht="13.5" customHeight="1" x14ac:dyDescent="0.2"/>
    <row r="932" customFormat="1" ht="13.5" customHeight="1" x14ac:dyDescent="0.2"/>
    <row r="933" customFormat="1" ht="13.5" customHeight="1" x14ac:dyDescent="0.2"/>
    <row r="934" customFormat="1" ht="13.5" customHeight="1" x14ac:dyDescent="0.2"/>
    <row r="935" customFormat="1" ht="13.5" customHeight="1" x14ac:dyDescent="0.2"/>
    <row r="936" customFormat="1" ht="13.5" customHeight="1" x14ac:dyDescent="0.2"/>
    <row r="937" customFormat="1" ht="13.5" customHeight="1" x14ac:dyDescent="0.2"/>
    <row r="938" customFormat="1" ht="13.5" customHeight="1" x14ac:dyDescent="0.2"/>
    <row r="939" customFormat="1" ht="13.5" customHeight="1" x14ac:dyDescent="0.2"/>
    <row r="940" customFormat="1" ht="13.5" customHeight="1" x14ac:dyDescent="0.2"/>
    <row r="941" customFormat="1" ht="13.5" customHeight="1" x14ac:dyDescent="0.2"/>
    <row r="942" customFormat="1" ht="13.5" customHeight="1" x14ac:dyDescent="0.2"/>
    <row r="943" customFormat="1" ht="13.5" customHeight="1" x14ac:dyDescent="0.2"/>
    <row r="944" customFormat="1" ht="13.5" customHeight="1" x14ac:dyDescent="0.2"/>
    <row r="945" customFormat="1" ht="13.5" customHeight="1" x14ac:dyDescent="0.2"/>
    <row r="946" customFormat="1" ht="13.5" customHeight="1" x14ac:dyDescent="0.2"/>
    <row r="947" customFormat="1" ht="13.5" customHeight="1" x14ac:dyDescent="0.2"/>
    <row r="948" customFormat="1" ht="13.5" customHeight="1" x14ac:dyDescent="0.2"/>
    <row r="949" customFormat="1" ht="13.5" customHeight="1" x14ac:dyDescent="0.2"/>
    <row r="950" customFormat="1" ht="13.5" customHeight="1" x14ac:dyDescent="0.2"/>
    <row r="951" customFormat="1" ht="13.5" customHeight="1" x14ac:dyDescent="0.2"/>
    <row r="952" customFormat="1" ht="13.5" customHeight="1" x14ac:dyDescent="0.2"/>
    <row r="953" customFormat="1" ht="13.5" customHeight="1" x14ac:dyDescent="0.2"/>
    <row r="954" customFormat="1" ht="13.5" customHeight="1" x14ac:dyDescent="0.2"/>
    <row r="955" customFormat="1" ht="13.5" customHeight="1" x14ac:dyDescent="0.2"/>
    <row r="956" customFormat="1" ht="13.5" customHeight="1" x14ac:dyDescent="0.2"/>
    <row r="957" customFormat="1" ht="13.5" customHeight="1" x14ac:dyDescent="0.2"/>
    <row r="958" customFormat="1" ht="13.5" customHeight="1" x14ac:dyDescent="0.2"/>
    <row r="959" customFormat="1" ht="13.5" customHeight="1" x14ac:dyDescent="0.2"/>
    <row r="960" customFormat="1" ht="13.5" customHeight="1" x14ac:dyDescent="0.2"/>
    <row r="961" customFormat="1" ht="13.5" customHeight="1" x14ac:dyDescent="0.2"/>
    <row r="962" customFormat="1" ht="13.5" customHeight="1" x14ac:dyDescent="0.2"/>
    <row r="963" customFormat="1" ht="13.5" customHeight="1" x14ac:dyDescent="0.2"/>
    <row r="964" customFormat="1" ht="13.5" customHeight="1" x14ac:dyDescent="0.2"/>
    <row r="965" customFormat="1" ht="13.5" customHeight="1" x14ac:dyDescent="0.2"/>
    <row r="966" customFormat="1" ht="13.5" customHeight="1" x14ac:dyDescent="0.2"/>
    <row r="967" customFormat="1" ht="13.5" customHeight="1" x14ac:dyDescent="0.2"/>
    <row r="968" customFormat="1" ht="13.5" customHeight="1" x14ac:dyDescent="0.2"/>
    <row r="969" customFormat="1" ht="13.5" customHeight="1" x14ac:dyDescent="0.2"/>
    <row r="970" customFormat="1" ht="13.5" customHeight="1" x14ac:dyDescent="0.2"/>
    <row r="971" customFormat="1" ht="13.5" customHeight="1" x14ac:dyDescent="0.2"/>
    <row r="972" customFormat="1" ht="13.5" customHeight="1" x14ac:dyDescent="0.2"/>
    <row r="973" customFormat="1" ht="13.5" customHeight="1" x14ac:dyDescent="0.2"/>
    <row r="974" customFormat="1" ht="13.5" customHeight="1" x14ac:dyDescent="0.2"/>
    <row r="975" customFormat="1" ht="13.5" customHeight="1" x14ac:dyDescent="0.2"/>
    <row r="976" customFormat="1" ht="13.5" customHeight="1" x14ac:dyDescent="0.2"/>
    <row r="977" customFormat="1" ht="13.5" customHeight="1" x14ac:dyDescent="0.2"/>
    <row r="978" customFormat="1" ht="13.5" customHeight="1" x14ac:dyDescent="0.2"/>
    <row r="979" customFormat="1" ht="13.5" customHeight="1" x14ac:dyDescent="0.2"/>
    <row r="980" customFormat="1" ht="13.5" customHeight="1" x14ac:dyDescent="0.2"/>
    <row r="981" customFormat="1" ht="13.5" customHeight="1" x14ac:dyDescent="0.2"/>
    <row r="982" customFormat="1" ht="13.5" customHeight="1" x14ac:dyDescent="0.2"/>
    <row r="983" customFormat="1" ht="13.5" customHeight="1" x14ac:dyDescent="0.2"/>
    <row r="984" customFormat="1" ht="13.5" customHeight="1" x14ac:dyDescent="0.2"/>
    <row r="985" customFormat="1" ht="13.5" customHeight="1" x14ac:dyDescent="0.2"/>
    <row r="986" customFormat="1" ht="13.5" customHeight="1" x14ac:dyDescent="0.2"/>
    <row r="987" customFormat="1" ht="13.5" customHeight="1" x14ac:dyDescent="0.2"/>
    <row r="988" customFormat="1" ht="13.5" customHeight="1" x14ac:dyDescent="0.2"/>
    <row r="989" customFormat="1" ht="13.5" customHeight="1" x14ac:dyDescent="0.2"/>
    <row r="990" customFormat="1" ht="13.5" customHeight="1" x14ac:dyDescent="0.2"/>
    <row r="991" customFormat="1" ht="13.5" customHeight="1" x14ac:dyDescent="0.2"/>
    <row r="992" customFormat="1" ht="13.5" customHeight="1" x14ac:dyDescent="0.2"/>
    <row r="993" customFormat="1" ht="13.5" customHeight="1" x14ac:dyDescent="0.2"/>
    <row r="994" customFormat="1" ht="13.5" customHeight="1" x14ac:dyDescent="0.2"/>
    <row r="995" customFormat="1" ht="13.5" customHeight="1" x14ac:dyDescent="0.2"/>
    <row r="996" customFormat="1" ht="13.5" customHeight="1" x14ac:dyDescent="0.2"/>
    <row r="997" customFormat="1" ht="13.5" customHeight="1" x14ac:dyDescent="0.2"/>
    <row r="998" customFormat="1" ht="13.5" customHeight="1" x14ac:dyDescent="0.2"/>
    <row r="999" customFormat="1" ht="13.5" customHeight="1" x14ac:dyDescent="0.2"/>
    <row r="1000" customFormat="1" ht="13.5" customHeight="1" x14ac:dyDescent="0.2"/>
    <row r="1001" customFormat="1" ht="13.5" customHeight="1" x14ac:dyDescent="0.2"/>
  </sheetData>
  <mergeCells count="4">
    <mergeCell ref="B2:D2"/>
    <mergeCell ref="E2:F2"/>
    <mergeCell ref="C15:F16"/>
    <mergeCell ref="B15:B16"/>
  </mergeCells>
  <conditionalFormatting sqref="C5">
    <cfRule type="containsText" dxfId="5" priority="1" operator="containsText" text="PASS">
      <formula>NOT(ISERROR(SEARCH(("PASS"),(C5))))</formula>
    </cfRule>
    <cfRule type="containsText" dxfId="4" priority="2" operator="containsText" text="FAIL">
      <formula>NOT(ISERROR(SEARCH(("FAIL"),(C5))))</formula>
    </cfRule>
    <cfRule type="containsText" dxfId="3" priority="3" operator="containsText" text="WATCH">
      <formula>NOT(ISERROR(SEARCH(("WATCH"),(C5))))</formula>
    </cfRule>
  </conditionalFormatting>
  <conditionalFormatting sqref="E8:E13">
    <cfRule type="containsText" dxfId="2" priority="4" operator="containsText" text="PASS">
      <formula>NOT(ISERROR(SEARCH(("PASS"),(E8))))</formula>
    </cfRule>
    <cfRule type="containsText" dxfId="1" priority="5" operator="containsText" text="FAIL">
      <formula>NOT(ISERROR(SEARCH(("FAIL"),(E8))))</formula>
    </cfRule>
    <cfRule type="containsText" dxfId="0" priority="6" operator="containsText" text="WATCH">
      <formula>NOT(ISERROR(SEARCH(("WATCH"),(E8))))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Assumptions</vt:lpstr>
      <vt:lpstr>Op Build</vt:lpstr>
      <vt:lpstr>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