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'1.0' encoding='UTF-8' standalone='yes'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/>
  </mc:AlternateContent>
  <xr:revisionPtr revIDLastSave="0" documentId="13_ncr:20001_{B02623C2-DED1-CC4D-8B4E-BEE924054912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Dashboard" sheetId="1" r:id="rId1"/>
    <sheet name="Data &amp; Targets" sheetId="2" r:id="rId2"/>
    <sheet name="_Chart Helper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3" l="1"/>
  <c r="M13" i="3"/>
  <c r="L13" i="3"/>
  <c r="J13" i="3"/>
  <c r="I13" i="3"/>
  <c r="H13" i="3"/>
  <c r="N12" i="3"/>
  <c r="M12" i="3"/>
  <c r="L12" i="3"/>
  <c r="J12" i="3"/>
  <c r="I12" i="3"/>
  <c r="H12" i="3"/>
  <c r="N11" i="3"/>
  <c r="M11" i="3"/>
  <c r="L11" i="3"/>
  <c r="J11" i="3"/>
  <c r="I11" i="3"/>
  <c r="H11" i="3"/>
  <c r="N10" i="3"/>
  <c r="M10" i="3"/>
  <c r="L10" i="3"/>
  <c r="J10" i="3"/>
  <c r="I10" i="3"/>
  <c r="H10" i="3"/>
  <c r="N9" i="3"/>
  <c r="M9" i="3"/>
  <c r="L9" i="3"/>
  <c r="J9" i="3"/>
  <c r="I9" i="3"/>
  <c r="H9" i="3"/>
  <c r="E9" i="3"/>
  <c r="D9" i="3"/>
  <c r="N13" i="1" s="1"/>
  <c r="C9" i="3"/>
  <c r="E52" i="1" s="1"/>
  <c r="B9" i="3"/>
  <c r="P13" i="1" s="1"/>
  <c r="A9" i="3"/>
  <c r="N8" i="3"/>
  <c r="M8" i="3"/>
  <c r="L8" i="3"/>
  <c r="J8" i="3"/>
  <c r="I8" i="3"/>
  <c r="H8" i="3"/>
  <c r="E8" i="3"/>
  <c r="D8" i="3"/>
  <c r="C8" i="3"/>
  <c r="B8" i="3"/>
  <c r="L13" i="1" s="1"/>
  <c r="A8" i="3"/>
  <c r="N7" i="3"/>
  <c r="M7" i="3"/>
  <c r="L7" i="3"/>
  <c r="J7" i="3"/>
  <c r="I7" i="3"/>
  <c r="H7" i="3"/>
  <c r="E7" i="3"/>
  <c r="D7" i="3"/>
  <c r="F13" i="1" s="1"/>
  <c r="C7" i="3"/>
  <c r="B7" i="3"/>
  <c r="T4" i="3" s="1"/>
  <c r="A7" i="3"/>
  <c r="P6" i="3"/>
  <c r="N6" i="3"/>
  <c r="M6" i="3"/>
  <c r="L6" i="3"/>
  <c r="J6" i="3"/>
  <c r="I6" i="3"/>
  <c r="H6" i="3"/>
  <c r="E6" i="3"/>
  <c r="D6" i="3"/>
  <c r="B13" i="1" s="1"/>
  <c r="C6" i="3"/>
  <c r="E49" i="1" s="1"/>
  <c r="B6" i="3"/>
  <c r="D49" i="1" s="1"/>
  <c r="A6" i="3"/>
  <c r="T5" i="3"/>
  <c r="S5" i="3"/>
  <c r="P5" i="3"/>
  <c r="N5" i="3"/>
  <c r="M5" i="3"/>
  <c r="L5" i="3"/>
  <c r="J5" i="3"/>
  <c r="I5" i="3"/>
  <c r="H5" i="3"/>
  <c r="E5" i="3"/>
  <c r="D5" i="3"/>
  <c r="N8" i="1" s="1"/>
  <c r="C5" i="3"/>
  <c r="E48" i="1" s="1"/>
  <c r="B5" i="3"/>
  <c r="D48" i="1" s="1"/>
  <c r="G48" i="1" s="1"/>
  <c r="A5" i="3"/>
  <c r="S4" i="3"/>
  <c r="P4" i="3"/>
  <c r="N4" i="3"/>
  <c r="M4" i="3"/>
  <c r="L4" i="3"/>
  <c r="J4" i="3"/>
  <c r="I4" i="3"/>
  <c r="H4" i="3"/>
  <c r="E4" i="3"/>
  <c r="D4" i="3"/>
  <c r="J8" i="1" s="1"/>
  <c r="C4" i="3"/>
  <c r="B4" i="3"/>
  <c r="L8" i="1" s="1"/>
  <c r="A4" i="3"/>
  <c r="T3" i="3"/>
  <c r="S3" i="3"/>
  <c r="P3" i="3"/>
  <c r="N3" i="3"/>
  <c r="M3" i="3"/>
  <c r="L3" i="3"/>
  <c r="J3" i="3"/>
  <c r="I3" i="3"/>
  <c r="H3" i="3"/>
  <c r="E3" i="3"/>
  <c r="D3" i="3"/>
  <c r="C3" i="3"/>
  <c r="E46" i="1" s="1"/>
  <c r="B3" i="3"/>
  <c r="D46" i="1" s="1"/>
  <c r="A3" i="3"/>
  <c r="T2" i="3"/>
  <c r="S2" i="3"/>
  <c r="Q2" i="3"/>
  <c r="P2" i="3"/>
  <c r="N2" i="3"/>
  <c r="M2" i="3"/>
  <c r="L2" i="3"/>
  <c r="J2" i="3"/>
  <c r="I2" i="3"/>
  <c r="H2" i="3"/>
  <c r="E2" i="3"/>
  <c r="D2" i="3"/>
  <c r="B8" i="1" s="1"/>
  <c r="C2" i="3"/>
  <c r="E45" i="1" s="1"/>
  <c r="B2" i="3"/>
  <c r="Q6" i="3" s="1"/>
  <c r="A2" i="3"/>
  <c r="B45" i="1" s="1"/>
  <c r="T1" i="3"/>
  <c r="S1" i="3"/>
  <c r="Q1" i="3"/>
  <c r="P1" i="3"/>
  <c r="N1" i="3"/>
  <c r="M1" i="3"/>
  <c r="L1" i="3"/>
  <c r="J1" i="3"/>
  <c r="I1" i="3"/>
  <c r="H1" i="3"/>
  <c r="F1" i="3"/>
  <c r="E1" i="3"/>
  <c r="D1" i="3"/>
  <c r="C1" i="3"/>
  <c r="B1" i="3"/>
  <c r="A1" i="3"/>
  <c r="H35" i="2"/>
  <c r="C10" i="2"/>
  <c r="C52" i="1"/>
  <c r="B52" i="1"/>
  <c r="E51" i="1"/>
  <c r="D51" i="1"/>
  <c r="C51" i="1"/>
  <c r="B51" i="1"/>
  <c r="E50" i="1"/>
  <c r="D50" i="1"/>
  <c r="C50" i="1"/>
  <c r="B50" i="1"/>
  <c r="C49" i="1"/>
  <c r="B49" i="1"/>
  <c r="C48" i="1"/>
  <c r="B48" i="1"/>
  <c r="E47" i="1"/>
  <c r="D47" i="1"/>
  <c r="G47" i="1" s="1"/>
  <c r="C47" i="1"/>
  <c r="B47" i="1"/>
  <c r="C46" i="1"/>
  <c r="B46" i="1"/>
  <c r="C45" i="1"/>
  <c r="J13" i="1"/>
  <c r="H13" i="1"/>
  <c r="D13" i="1"/>
  <c r="N11" i="1"/>
  <c r="J11" i="1"/>
  <c r="F11" i="1"/>
  <c r="B11" i="1"/>
  <c r="P8" i="1"/>
  <c r="B4" i="1"/>
  <c r="N3" i="1"/>
  <c r="J3" i="1"/>
  <c r="G50" i="1" l="1"/>
  <c r="G51" i="1"/>
  <c r="F2" i="3"/>
  <c r="H45" i="1" s="1"/>
  <c r="F8" i="3"/>
  <c r="H51" i="1" s="1"/>
  <c r="F3" i="3"/>
  <c r="H46" i="1" s="1"/>
  <c r="F4" i="3"/>
  <c r="H47" i="1" s="1"/>
  <c r="F7" i="3"/>
  <c r="H50" i="1" s="1"/>
  <c r="B6" i="1"/>
  <c r="F5" i="3"/>
  <c r="H48" i="1" s="1"/>
  <c r="F6" i="3"/>
  <c r="H49" i="1" s="1"/>
  <c r="N6" i="1"/>
  <c r="D52" i="1"/>
  <c r="G52" i="1" s="1"/>
  <c r="D8" i="1"/>
  <c r="D45" i="1"/>
  <c r="G45" i="1" s="1"/>
  <c r="Q4" i="3"/>
  <c r="Q5" i="3"/>
  <c r="F9" i="3"/>
  <c r="H52" i="1" s="1"/>
  <c r="G49" i="1"/>
  <c r="G46" i="1"/>
  <c r="F46" i="1"/>
  <c r="F49" i="1"/>
  <c r="F47" i="1"/>
  <c r="F51" i="1"/>
  <c r="F6" i="1"/>
  <c r="Q3" i="3"/>
  <c r="J6" i="1"/>
  <c r="F8" i="1"/>
  <c r="H8" i="1"/>
  <c r="F48" i="1"/>
  <c r="F50" i="1"/>
  <c r="F45" i="1" l="1"/>
  <c r="F52" i="1"/>
</calcChain>
</file>

<file path=xl/sharedStrings.xml><?xml version="1.0" encoding="utf-8"?>
<sst xmlns="http://schemas.openxmlformats.org/spreadsheetml/2006/main" count="285" uniqueCount="68">
  <si>
    <t>Website Analytics Dashboard</t>
  </si>
  <si>
    <t>SELECTED REPORTING PERIOD</t>
  </si>
  <si>
    <t>DATA CURRENT THROUGH</t>
  </si>
  <si>
    <t>Dashboard</t>
  </si>
  <si>
    <t>ACTIVE USERS</t>
  </si>
  <si>
    <t>NEW USERS</t>
  </si>
  <si>
    <t>30-DAY RETENTION</t>
  </si>
  <si>
    <t>TRIAL-TO-PAID</t>
  </si>
  <si>
    <t>vs prior</t>
  </si>
  <si>
    <t>vs target</t>
  </si>
  <si>
    <t>SESSIONS / USER</t>
  </si>
  <si>
    <t>MONTHLY RECURRING REVENUE</t>
  </si>
  <si>
    <t>BOUNCE RATE</t>
  </si>
  <si>
    <t>MRR / ACTIVE USER</t>
  </si>
  <si>
    <t>ACTIVE USERS — ACTUAL VS TARGET</t>
  </si>
  <si>
    <t>MRR — ACTUAL VS TARGET</t>
  </si>
  <si>
    <t>CONVERSION FUNNEL — SELECTED PERIOD</t>
  </si>
  <si>
    <t>MRR MIX BY SEGMENT</t>
  </si>
  <si>
    <t>SELECTED-PERIOD VARIANCE</t>
  </si>
  <si>
    <t>Metric</t>
  </si>
  <si>
    <t>Goal</t>
  </si>
  <si>
    <t>Actual</t>
  </si>
  <si>
    <t>Target</t>
  </si>
  <si>
    <t>Absolute Variance</t>
  </si>
  <si>
    <t>Variance %</t>
  </si>
  <si>
    <t>Status</t>
  </si>
  <si>
    <t>Status is direction-aware: most metrics favor higher results, while Bounce Rate explicitly favors lower results. Watch thresholds are within 5% of target.</t>
  </si>
  <si>
    <t>Synthetic illustrative data for template use.</t>
  </si>
  <si>
    <t>Data &amp; Targets</t>
  </si>
  <si>
    <t>HOW TO USE</t>
  </si>
  <si>
    <t>Paste or replace synthetic monthly actuals and targets in yellow cells B15:P26. Keep dates as real month-start dates.</t>
  </si>
  <si>
    <t>Choose Selected Period in C8. Dashboard KPIs, comparisons, variance status, funnel, and mix recalculate from that period.</t>
  </si>
  <si>
    <t>Selected Period</t>
  </si>
  <si>
    <t>Data Current Through</t>
  </si>
  <si>
    <t>Source Note</t>
  </si>
  <si>
    <t>Synthetic generic example data for template review; replace only yellow inputs.</t>
  </si>
  <si>
    <t>MONTHLY ACTUALS &amp; TARGETS — EDIT YELLOW CELLS</t>
  </si>
  <si>
    <t>Period</t>
  </si>
  <si>
    <t>Active Users</t>
  </si>
  <si>
    <t>New Users</t>
  </si>
  <si>
    <t>30-Day Retention</t>
  </si>
  <si>
    <t>Trial-to-Paid Conversion</t>
  </si>
  <si>
    <t>Sessions / User</t>
  </si>
  <si>
    <t>MRR</t>
  </si>
  <si>
    <t>Bounce Rate</t>
  </si>
  <si>
    <t>Active Users Target</t>
  </si>
  <si>
    <t>New Users Target</t>
  </si>
  <si>
    <t>Retention Target</t>
  </si>
  <si>
    <t>Conversion Target</t>
  </si>
  <si>
    <t>Sessions Target</t>
  </si>
  <si>
    <t>MRR Target</t>
  </si>
  <si>
    <t>Bounce Target</t>
  </si>
  <si>
    <t>FUNNEL DRIVERS — EDIT YELLOW CELLS</t>
  </si>
  <si>
    <t>SEGMENT MIX — EDIT YELLOW CELLS</t>
  </si>
  <si>
    <t>Driver</t>
  </si>
  <si>
    <t>Value</t>
  </si>
  <si>
    <t>Segment</t>
  </si>
  <si>
    <t>Share</t>
  </si>
  <si>
    <t>Visitors per active user</t>
  </si>
  <si>
    <t>Enterprise</t>
  </si>
  <si>
    <t>Visitor to signup</t>
  </si>
  <si>
    <t>Midmarket</t>
  </si>
  <si>
    <t>Signup completion</t>
  </si>
  <si>
    <t>SMB</t>
  </si>
  <si>
    <t>Workspace activation</t>
  </si>
  <si>
    <t>Self-Svc</t>
  </si>
  <si>
    <t>Activation to paid</t>
  </si>
  <si>
    <t>Share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</si>
</sst>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mmm\ yyyy"/>
    <numFmt numFmtId="165" formatCode="#,##0;[Red]\(#,##0\);\-"/>
    <numFmt numFmtId="166" formatCode="0.0%;[Red]\(0.0%\);\-"/>
    <numFmt numFmtId="167" formatCode="#,##0.0;[Red]\(#,##0.0\);\-"/>
    <numFmt numFmtId="168" formatCode="\$#,##0;[Red]\(\$#,##0\);\-"/>
    <numFmt numFmtId="169" formatCode="0.0\x"/>
    <numFmt numFmtId="170" formatCode="\$#,##0.0;[Red]\(\$#,##0.0\);\-"/>
    <numFmt numFmtId="171" formatCode="\+0.0%;\-0.0%;\-"/>
  </numFmts>
  <fonts count="20" x14ac:knownFonts="1">
    <font>
      <sz val="11"/>
      <name val="Arial"/>
    </font>
    <font>
      <b/>
      <sz val="14"/>
      <color rgb="FFFFFFFF"/>
      <name val="Arial"/>
      <family val="2"/>
    </font>
    <font>
      <b/>
      <sz val="10"/>
      <color rgb="FFD9E2EA"/>
      <name val="Arial"/>
      <family val="2"/>
    </font>
    <font>
      <b/>
      <sz val="10"/>
      <color rgb="FFFFFFFF"/>
      <name val="Arial"/>
      <family val="2"/>
    </font>
    <font>
      <sz val="9"/>
      <color rgb="FF17212B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b/>
      <sz val="8"/>
      <color rgb="FFA7B4C2"/>
      <name val="Arial"/>
      <family val="2"/>
    </font>
    <font>
      <b/>
      <sz val="11"/>
      <color rgb="FFFFFFFF"/>
      <name val="Arial"/>
      <family val="2"/>
    </font>
    <font>
      <i/>
      <sz val="8"/>
      <color rgb="FFA7B4C2"/>
      <name val="Arial"/>
      <family val="2"/>
    </font>
    <font>
      <b/>
      <sz val="9"/>
      <color rgb="FFA7B4C2"/>
      <name val="Arial"/>
      <family val="2"/>
    </font>
    <font>
      <b/>
      <sz val="25"/>
      <color rgb="FFFFFFFF"/>
      <name val="Arial"/>
      <family val="2"/>
    </font>
    <font>
      <b/>
      <sz val="9"/>
      <color rgb="FF43D3FF"/>
      <name val="Arial"/>
      <family val="2"/>
    </font>
    <font>
      <sz val="8"/>
      <color rgb="FFA7B4C2"/>
      <name val="Arial"/>
      <family val="2"/>
    </font>
    <font>
      <sz val="9"/>
      <color rgb="FFA7B4C2"/>
      <name val="Arial"/>
      <family val="2"/>
    </font>
    <font>
      <i/>
      <sz val="9"/>
      <color rgb="FFA7B4C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sz val="9"/>
      <color rgb="FF0000FF"/>
      <name val="Arial"/>
      <family val="2"/>
    </font>
    <font>
      <i/>
      <sz val="10"/>
      <color rgb="FFD9E2EA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25313C"/>
      </patternFill>
    </fill>
    <fill>
      <patternFill patternType="solid">
        <fgColor rgb="FFF3F5F7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244A6B"/>
      </patternFill>
    </fill>
    <fill>
      <patternFill patternType="solid">
        <fgColor rgb="FF0D1B2A"/>
      </patternFill>
    </fill>
    <fill>
      <patternFill patternType="solid">
        <fgColor rgb="FF19324A"/>
      </patternFill>
    </fill>
    <fill>
      <patternFill patternType="solid">
        <fgColor rgb="FF14263A"/>
      </patternFill>
    </fill>
    <fill>
      <patternFill patternType="solid">
        <fgColor rgb="FF223B53"/>
      </patternFill>
    </fill>
    <fill>
      <patternFill patternType="solid">
        <fgColor rgb="FF0D1B2A"/>
        <bgColor indexed="64"/>
      </patternFill>
    </fill>
  </fills>
  <borders count="14">
    <border>
      <left/>
      <right/>
      <top/>
      <bottom/>
      <diagonal/>
    </border>
    <border>
      <left style="thin">
        <color rgb="FFD9E0E6"/>
      </left>
      <right style="thin">
        <color rgb="FFD9E0E6"/>
      </right>
      <top style="thin">
        <color rgb="FFD9E0E6"/>
      </top>
      <bottom style="thin">
        <color rgb="FFD9E0E6"/>
      </bottom>
      <diagonal/>
    </border>
    <border>
      <left style="thin">
        <color rgb="FFD6C26E"/>
      </left>
      <right style="thin">
        <color rgb="FFD6C26E"/>
      </right>
      <top style="thin">
        <color rgb="FFD6C26E"/>
      </top>
      <bottom style="thin">
        <color rgb="FFD6C26E"/>
      </bottom>
      <diagonal/>
    </border>
    <border>
      <left style="thin">
        <color rgb="FF31506B"/>
      </left>
      <right/>
      <top style="thin">
        <color rgb="FF31506B"/>
      </top>
      <bottom style="thin">
        <color rgb="FF31506B"/>
      </bottom>
      <diagonal/>
    </border>
    <border>
      <left/>
      <right/>
      <top style="thin">
        <color rgb="FF31506B"/>
      </top>
      <bottom style="thin">
        <color rgb="FF31506B"/>
      </bottom>
      <diagonal/>
    </border>
    <border>
      <left/>
      <right style="thin">
        <color rgb="FF31506B"/>
      </right>
      <top style="thin">
        <color rgb="FF31506B"/>
      </top>
      <bottom style="thin">
        <color rgb="FF31506B"/>
      </bottom>
      <diagonal/>
    </border>
    <border>
      <left style="thin">
        <color rgb="FF31506B"/>
      </left>
      <right/>
      <top style="thin">
        <color rgb="FF31506B"/>
      </top>
      <bottom/>
      <diagonal/>
    </border>
    <border>
      <left/>
      <right/>
      <top style="thin">
        <color rgb="FF31506B"/>
      </top>
      <bottom/>
      <diagonal/>
    </border>
    <border>
      <left/>
      <right style="thin">
        <color rgb="FF31506B"/>
      </right>
      <top style="thin">
        <color rgb="FF31506B"/>
      </top>
      <bottom/>
      <diagonal/>
    </border>
    <border>
      <left style="thin">
        <color rgb="FF31506B"/>
      </left>
      <right/>
      <top/>
      <bottom/>
      <diagonal/>
    </border>
    <border>
      <left/>
      <right style="thin">
        <color rgb="FF31506B"/>
      </right>
      <top/>
      <bottom/>
      <diagonal/>
    </border>
    <border>
      <left style="thin">
        <color rgb="FF31506B"/>
      </left>
      <right/>
      <top/>
      <bottom style="thin">
        <color rgb="FF31506B"/>
      </bottom>
      <diagonal/>
    </border>
    <border>
      <left/>
      <right/>
      <top/>
      <bottom style="thin">
        <color rgb="FF31506B"/>
      </bottom>
      <diagonal/>
    </border>
    <border>
      <left/>
      <right style="thin">
        <color rgb="FF31506B"/>
      </right>
      <top/>
      <bottom style="thin">
        <color rgb="FF31506B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165" fontId="4" fillId="6" borderId="1" xfId="0" applyNumberFormat="1" applyFont="1" applyFill="1" applyBorder="1" applyAlignment="1">
      <alignment horizontal="left" vertical="center"/>
    </xf>
    <xf numFmtId="166" fontId="4" fillId="6" borderId="1" xfId="0" applyNumberFormat="1" applyFont="1" applyFill="1" applyBorder="1" applyAlignment="1">
      <alignment horizontal="left" vertical="center"/>
    </xf>
    <xf numFmtId="167" fontId="4" fillId="6" borderId="1" xfId="0" applyNumberFormat="1" applyFont="1" applyFill="1" applyBorder="1" applyAlignment="1">
      <alignment horizontal="left" vertical="center"/>
    </xf>
    <xf numFmtId="168" fontId="4" fillId="6" borderId="1" xfId="0" applyNumberFormat="1" applyFont="1" applyFill="1" applyBorder="1" applyAlignment="1">
      <alignment horizontal="left" vertical="center"/>
    </xf>
    <xf numFmtId="170" fontId="4" fillId="6" borderId="1" xfId="0" applyNumberFormat="1" applyFont="1" applyFill="1" applyBorder="1" applyAlignment="1">
      <alignment horizontal="left" vertical="center"/>
    </xf>
    <xf numFmtId="17" fontId="4" fillId="6" borderId="1" xfId="0" applyNumberFormat="1" applyFont="1" applyFill="1" applyBorder="1" applyAlignment="1">
      <alignment horizontal="left" vertical="center"/>
    </xf>
    <xf numFmtId="0" fontId="6" fillId="8" borderId="0" xfId="0" applyFont="1" applyFill="1" applyAlignment="1">
      <alignment vertical="center"/>
    </xf>
    <xf numFmtId="171" fontId="12" fillId="10" borderId="11" xfId="0" applyNumberFormat="1" applyFont="1" applyFill="1" applyBorder="1" applyAlignment="1">
      <alignment horizontal="right" vertical="center"/>
    </xf>
    <xf numFmtId="0" fontId="13" fillId="10" borderId="12" xfId="0" applyFont="1" applyFill="1" applyBorder="1" applyAlignment="1">
      <alignment horizontal="left" vertical="center"/>
    </xf>
    <xf numFmtId="171" fontId="5" fillId="10" borderId="12" xfId="0" applyNumberFormat="1" applyFont="1" applyFill="1" applyBorder="1" applyAlignment="1">
      <alignment horizontal="right" vertical="center"/>
    </xf>
    <xf numFmtId="0" fontId="13" fillId="10" borderId="13" xfId="0" applyFont="1" applyFill="1" applyBorder="1" applyAlignment="1">
      <alignment horizontal="left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 vertical="center"/>
    </xf>
    <xf numFmtId="165" fontId="6" fillId="10" borderId="1" xfId="0" applyNumberFormat="1" applyFont="1" applyFill="1" applyBorder="1" applyAlignment="1">
      <alignment horizontal="right" vertical="center"/>
    </xf>
    <xf numFmtId="166" fontId="6" fillId="10" borderId="1" xfId="0" applyNumberFormat="1" applyFont="1" applyFill="1" applyBorder="1" applyAlignment="1">
      <alignment horizontal="right" vertical="center"/>
    </xf>
    <xf numFmtId="167" fontId="6" fillId="10" borderId="1" xfId="0" applyNumberFormat="1" applyFont="1" applyFill="1" applyBorder="1" applyAlignment="1">
      <alignment horizontal="right" vertical="center"/>
    </xf>
    <xf numFmtId="168" fontId="6" fillId="10" borderId="1" xfId="0" applyNumberFormat="1" applyFont="1" applyFill="1" applyBorder="1" applyAlignment="1">
      <alignment horizontal="right" vertical="center"/>
    </xf>
    <xf numFmtId="170" fontId="6" fillId="10" borderId="1" xfId="0" applyNumberFormat="1" applyFont="1" applyFill="1" applyBorder="1" applyAlignment="1">
      <alignment horizontal="right" vertical="center"/>
    </xf>
    <xf numFmtId="164" fontId="17" fillId="6" borderId="1" xfId="0" applyNumberFormat="1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164" fontId="18" fillId="5" borderId="2" xfId="0" applyNumberFormat="1" applyFont="1" applyFill="1" applyBorder="1" applyAlignment="1">
      <alignment horizontal="left" vertical="center"/>
    </xf>
    <xf numFmtId="164" fontId="18" fillId="5" borderId="2" xfId="0" applyNumberFormat="1" applyFont="1" applyFill="1" applyBorder="1" applyAlignment="1">
      <alignment horizontal="right" vertical="center"/>
    </xf>
    <xf numFmtId="165" fontId="18" fillId="5" borderId="2" xfId="0" applyNumberFormat="1" applyFont="1" applyFill="1" applyBorder="1" applyAlignment="1">
      <alignment horizontal="right" vertical="center"/>
    </xf>
    <xf numFmtId="166" fontId="18" fillId="5" borderId="2" xfId="0" applyNumberFormat="1" applyFont="1" applyFill="1" applyBorder="1" applyAlignment="1">
      <alignment horizontal="right" vertical="center"/>
    </xf>
    <xf numFmtId="167" fontId="18" fillId="5" borderId="2" xfId="0" applyNumberFormat="1" applyFont="1" applyFill="1" applyBorder="1" applyAlignment="1">
      <alignment horizontal="right" vertical="center"/>
    </xf>
    <xf numFmtId="168" fontId="18" fillId="5" borderId="2" xfId="0" applyNumberFormat="1" applyFont="1" applyFill="1" applyBorder="1" applyAlignment="1">
      <alignment horizontal="right" vertical="center"/>
    </xf>
    <xf numFmtId="169" fontId="18" fillId="5" borderId="2" xfId="0" applyNumberFormat="1" applyFont="1" applyFill="1" applyBorder="1" applyAlignment="1">
      <alignment horizontal="right" vertical="center"/>
    </xf>
    <xf numFmtId="0" fontId="1" fillId="12" borderId="0" xfId="0" applyFont="1" applyFill="1" applyAlignment="1">
      <alignment vertical="center"/>
    </xf>
    <xf numFmtId="0" fontId="2" fillId="12" borderId="0" xfId="0" applyFont="1" applyFill="1" applyAlignment="1">
      <alignment vertical="center"/>
    </xf>
    <xf numFmtId="0" fontId="19" fillId="12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7" fillId="9" borderId="3" xfId="0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left" vertical="center"/>
    </xf>
    <xf numFmtId="0" fontId="7" fillId="9" borderId="5" xfId="0" applyFont="1" applyFill="1" applyBorder="1" applyAlignment="1">
      <alignment horizontal="left" vertical="center"/>
    </xf>
    <xf numFmtId="164" fontId="8" fillId="9" borderId="3" xfId="0" applyNumberFormat="1" applyFont="1" applyFill="1" applyBorder="1" applyAlignment="1">
      <alignment horizontal="left" vertical="center"/>
    </xf>
    <xf numFmtId="164" fontId="8" fillId="9" borderId="4" xfId="0" applyNumberFormat="1" applyFont="1" applyFill="1" applyBorder="1" applyAlignment="1">
      <alignment horizontal="left" vertical="center"/>
    </xf>
    <xf numFmtId="164" fontId="8" fillId="9" borderId="5" xfId="0" applyNumberFormat="1" applyFont="1" applyFill="1" applyBorder="1" applyAlignment="1">
      <alignment horizontal="left" vertical="center"/>
    </xf>
    <xf numFmtId="0" fontId="9" fillId="8" borderId="0" xfId="0" applyFont="1" applyFill="1" applyAlignment="1">
      <alignment horizontal="left" vertical="center"/>
    </xf>
    <xf numFmtId="0" fontId="10" fillId="10" borderId="6" xfId="0" applyFont="1" applyFill="1" applyBorder="1" applyAlignment="1">
      <alignment horizontal="left" vertical="center"/>
    </xf>
    <xf numFmtId="0" fontId="10" fillId="10" borderId="7" xfId="0" applyFont="1" applyFill="1" applyBorder="1" applyAlignment="1">
      <alignment horizontal="left" vertical="center"/>
    </xf>
    <xf numFmtId="0" fontId="10" fillId="10" borderId="8" xfId="0" applyFont="1" applyFill="1" applyBorder="1" applyAlignment="1">
      <alignment horizontal="left" vertical="center"/>
    </xf>
    <xf numFmtId="165" fontId="11" fillId="10" borderId="9" xfId="0" applyNumberFormat="1" applyFont="1" applyFill="1" applyBorder="1" applyAlignment="1">
      <alignment horizontal="left" vertical="center"/>
    </xf>
    <xf numFmtId="165" fontId="11" fillId="10" borderId="0" xfId="0" applyNumberFormat="1" applyFont="1" applyFill="1" applyAlignment="1">
      <alignment horizontal="left" vertical="center"/>
    </xf>
    <xf numFmtId="165" fontId="11" fillId="10" borderId="10" xfId="0" applyNumberFormat="1" applyFont="1" applyFill="1" applyBorder="1" applyAlignment="1">
      <alignment horizontal="left" vertical="center"/>
    </xf>
    <xf numFmtId="166" fontId="11" fillId="10" borderId="9" xfId="0" applyNumberFormat="1" applyFont="1" applyFill="1" applyBorder="1" applyAlignment="1">
      <alignment horizontal="left" vertical="center"/>
    </xf>
    <xf numFmtId="166" fontId="11" fillId="10" borderId="0" xfId="0" applyNumberFormat="1" applyFont="1" applyFill="1" applyAlignment="1">
      <alignment horizontal="left" vertical="center"/>
    </xf>
    <xf numFmtId="166" fontId="11" fillId="10" borderId="10" xfId="0" applyNumberFormat="1" applyFont="1" applyFill="1" applyBorder="1" applyAlignment="1">
      <alignment horizontal="left" vertical="center"/>
    </xf>
    <xf numFmtId="0" fontId="3" fillId="9" borderId="0" xfId="0" applyFont="1" applyFill="1" applyAlignment="1">
      <alignment horizontal="left" vertical="center"/>
    </xf>
    <xf numFmtId="0" fontId="14" fillId="10" borderId="6" xfId="0" applyFont="1" applyFill="1" applyBorder="1" applyAlignment="1">
      <alignment horizontal="left" vertical="center" wrapText="1"/>
    </xf>
    <xf numFmtId="0" fontId="14" fillId="10" borderId="7" xfId="0" applyFont="1" applyFill="1" applyBorder="1" applyAlignment="1">
      <alignment horizontal="left" vertical="center" wrapText="1"/>
    </xf>
    <xf numFmtId="0" fontId="14" fillId="10" borderId="8" xfId="0" applyFont="1" applyFill="1" applyBorder="1" applyAlignment="1">
      <alignment horizontal="left" vertical="center" wrapText="1"/>
    </xf>
    <xf numFmtId="0" fontId="14" fillId="10" borderId="9" xfId="0" applyFont="1" applyFill="1" applyBorder="1" applyAlignment="1">
      <alignment horizontal="left" vertical="center" wrapText="1"/>
    </xf>
    <xf numFmtId="0" fontId="14" fillId="10" borderId="0" xfId="0" applyFont="1" applyFill="1" applyAlignment="1">
      <alignment horizontal="left" vertical="center" wrapText="1"/>
    </xf>
    <xf numFmtId="0" fontId="14" fillId="10" borderId="10" xfId="0" applyFont="1" applyFill="1" applyBorder="1" applyAlignment="1">
      <alignment horizontal="left" vertical="center" wrapText="1"/>
    </xf>
    <xf numFmtId="0" fontId="14" fillId="10" borderId="11" xfId="0" applyFont="1" applyFill="1" applyBorder="1" applyAlignment="1">
      <alignment horizontal="left" vertical="center" wrapText="1"/>
    </xf>
    <xf numFmtId="0" fontId="14" fillId="10" borderId="12" xfId="0" applyFont="1" applyFill="1" applyBorder="1" applyAlignment="1">
      <alignment horizontal="left" vertical="center" wrapText="1"/>
    </xf>
    <xf numFmtId="0" fontId="14" fillId="10" borderId="13" xfId="0" applyFont="1" applyFill="1" applyBorder="1" applyAlignment="1">
      <alignment horizontal="left" vertical="center" wrapText="1"/>
    </xf>
    <xf numFmtId="0" fontId="15" fillId="9" borderId="6" xfId="0" applyFont="1" applyFill="1" applyBorder="1" applyAlignment="1">
      <alignment horizontal="left" vertical="center" wrapText="1"/>
    </xf>
    <xf numFmtId="0" fontId="15" fillId="9" borderId="7" xfId="0" applyFont="1" applyFill="1" applyBorder="1" applyAlignment="1">
      <alignment horizontal="left" vertical="center" wrapText="1"/>
    </xf>
    <xf numFmtId="0" fontId="15" fillId="9" borderId="8" xfId="0" applyFont="1" applyFill="1" applyBorder="1" applyAlignment="1">
      <alignment horizontal="left" vertical="center" wrapText="1"/>
    </xf>
    <xf numFmtId="0" fontId="15" fillId="9" borderId="9" xfId="0" applyFont="1" applyFill="1" applyBorder="1" applyAlignment="1">
      <alignment horizontal="left" vertical="center" wrapText="1"/>
    </xf>
    <xf numFmtId="0" fontId="15" fillId="9" borderId="0" xfId="0" applyFont="1" applyFill="1" applyAlignment="1">
      <alignment horizontal="left" vertical="center" wrapText="1"/>
    </xf>
    <xf numFmtId="0" fontId="15" fillId="9" borderId="10" xfId="0" applyFont="1" applyFill="1" applyBorder="1" applyAlignment="1">
      <alignment horizontal="left" vertical="center" wrapText="1"/>
    </xf>
    <xf numFmtId="0" fontId="15" fillId="9" borderId="11" xfId="0" applyFont="1" applyFill="1" applyBorder="1" applyAlignment="1">
      <alignment horizontal="left" vertical="center" wrapText="1"/>
    </xf>
    <xf numFmtId="0" fontId="15" fillId="9" borderId="12" xfId="0" applyFont="1" applyFill="1" applyBorder="1" applyAlignment="1">
      <alignment horizontal="left" vertical="center" wrapText="1"/>
    </xf>
    <xf numFmtId="0" fontId="15" fillId="9" borderId="13" xfId="0" applyFont="1" applyFill="1" applyBorder="1" applyAlignment="1">
      <alignment horizontal="left" vertical="center" wrapText="1"/>
    </xf>
    <xf numFmtId="170" fontId="11" fillId="10" borderId="9" xfId="0" applyNumberFormat="1" applyFont="1" applyFill="1" applyBorder="1" applyAlignment="1">
      <alignment horizontal="left" vertical="center"/>
    </xf>
    <xf numFmtId="170" fontId="11" fillId="10" borderId="0" xfId="0" applyNumberFormat="1" applyFont="1" applyFill="1" applyAlignment="1">
      <alignment horizontal="left" vertical="center"/>
    </xf>
    <xf numFmtId="170" fontId="11" fillId="10" borderId="10" xfId="0" applyNumberFormat="1" applyFont="1" applyFill="1" applyBorder="1" applyAlignment="1">
      <alignment horizontal="left" vertical="center"/>
    </xf>
    <xf numFmtId="167" fontId="11" fillId="10" borderId="9" xfId="0" applyNumberFormat="1" applyFont="1" applyFill="1" applyBorder="1" applyAlignment="1">
      <alignment horizontal="left" vertical="center"/>
    </xf>
    <xf numFmtId="167" fontId="11" fillId="10" borderId="0" xfId="0" applyNumberFormat="1" applyFont="1" applyFill="1" applyAlignment="1">
      <alignment horizontal="left" vertical="center"/>
    </xf>
    <xf numFmtId="167" fontId="11" fillId="10" borderId="10" xfId="0" applyNumberFormat="1" applyFont="1" applyFill="1" applyBorder="1" applyAlignment="1">
      <alignment horizontal="left" vertical="center"/>
    </xf>
    <xf numFmtId="168" fontId="11" fillId="10" borderId="9" xfId="0" applyNumberFormat="1" applyFont="1" applyFill="1" applyBorder="1" applyAlignment="1">
      <alignment horizontal="left" vertical="center"/>
    </xf>
    <xf numFmtId="168" fontId="11" fillId="10" borderId="0" xfId="0" applyNumberFormat="1" applyFont="1" applyFill="1" applyAlignment="1">
      <alignment horizontal="left" vertical="center"/>
    </xf>
    <xf numFmtId="168" fontId="11" fillId="10" borderId="10" xfId="0" applyNumberFormat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3" fillId="7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3">
    <dxf>
      <font>
        <b/>
        <color rgb="FFB3261E"/>
      </font>
      <fill>
        <patternFill patternType="solid">
          <bgColor rgb="FFF4CCCC"/>
        </patternFill>
      </fill>
    </dxf>
    <dxf>
      <font>
        <b/>
        <color rgb="FF8A6400"/>
      </font>
      <fill>
        <patternFill patternType="solid">
          <bgColor rgb="FFFFF2CC"/>
        </patternFill>
      </fill>
    </dxf>
    <dxf>
      <font>
        <b/>
        <color rgb="FF2E7D32"/>
      </font>
      <fill>
        <patternFill patternType="solid">
          <bgColor rgb="FFD9EAD3"/>
        </patternFill>
      </fill>
    </dxf>
  </dxfs>
  <tableStyles count="0" defaultTableStyle="TableStyleMedium2" defaultPivotStyle="PivotStyleLight16"/>
  <colors>
    <mruColors>
      <color rgb="FF0D1B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A7B6C8"/>
                </a:solidFill>
                <a:latin typeface="Arial"/>
              </a:defRPr>
            </a:pPr>
            <a:r>
              <a:rPr lang="en-US" b="0">
                <a:solidFill>
                  <a:srgbClr val="A7B6C8"/>
                </a:solidFill>
                <a:latin typeface="Arial"/>
              </a:rPr>
              <a:t>Active users vs target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Active Users</c:v>
          </c:tx>
          <c:spPr>
            <a:ln w="28575" cmpd="sng">
              <a:solidFill>
                <a:srgbClr val="43D3FF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'_Chart Helpers'!$H$2:$H$13</c:f>
              <c:strCache>
                <c:ptCount val="12"/>
                <c:pt idx="0">
                  <c:v>Jan 2025</c:v>
                </c:pt>
                <c:pt idx="1">
                  <c:v>Feb 2025</c:v>
                </c:pt>
                <c:pt idx="2">
                  <c:v>Mar 2025</c:v>
                </c:pt>
                <c:pt idx="3">
                  <c:v>Apr 2025</c:v>
                </c:pt>
                <c:pt idx="4">
                  <c:v>May 2025</c:v>
                </c:pt>
                <c:pt idx="5">
                  <c:v>Jun 2025</c:v>
                </c:pt>
                <c:pt idx="6">
                  <c:v>Jul 2025</c:v>
                </c:pt>
                <c:pt idx="7">
                  <c:v>Aug 2025</c:v>
                </c:pt>
                <c:pt idx="8">
                  <c:v>Sep 2025</c:v>
                </c:pt>
                <c:pt idx="9">
                  <c:v>Oct 2025</c:v>
                </c:pt>
                <c:pt idx="10">
                  <c:v>Nov 2025</c:v>
                </c:pt>
                <c:pt idx="11">
                  <c:v>Dec 2025</c:v>
                </c:pt>
              </c:strCache>
            </c:strRef>
          </c:cat>
          <c:val>
            <c:numRef>
              <c:f>'_Chart Helpers'!$I$2:$I$13</c:f>
              <c:numCache>
                <c:formatCode>General</c:formatCode>
                <c:ptCount val="12"/>
                <c:pt idx="0">
                  <c:v>14800</c:v>
                </c:pt>
                <c:pt idx="1">
                  <c:v>15650</c:v>
                </c:pt>
                <c:pt idx="2">
                  <c:v>16900</c:v>
                </c:pt>
                <c:pt idx="3">
                  <c:v>18250</c:v>
                </c:pt>
                <c:pt idx="4">
                  <c:v>19700</c:v>
                </c:pt>
                <c:pt idx="5">
                  <c:v>21050</c:v>
                </c:pt>
                <c:pt idx="6">
                  <c:v>22800</c:v>
                </c:pt>
                <c:pt idx="7">
                  <c:v>24400</c:v>
                </c:pt>
                <c:pt idx="8">
                  <c:v>26150</c:v>
                </c:pt>
                <c:pt idx="9">
                  <c:v>27900</c:v>
                </c:pt>
                <c:pt idx="10">
                  <c:v>29650</c:v>
                </c:pt>
                <c:pt idx="11">
                  <c:v>31500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6-0244-949C-1A057B067B2B}"/>
            </c:ext>
          </c:extLst>
        </c:ser>
        <c:ser>
          <c:idx val="1"/>
          <c:order val="1"/>
          <c:tx>
            <c:v>Target</c:v>
          </c:tx>
          <c:spPr>
            <a:ln w="28575" cmpd="sng">
              <a:solidFill>
                <a:srgbClr val="FBBF2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'_Chart Helpers'!$H$2:$H$13</c:f>
              <c:strCache>
                <c:ptCount val="12"/>
                <c:pt idx="0">
                  <c:v>Jan 2025</c:v>
                </c:pt>
                <c:pt idx="1">
                  <c:v>Feb 2025</c:v>
                </c:pt>
                <c:pt idx="2">
                  <c:v>Mar 2025</c:v>
                </c:pt>
                <c:pt idx="3">
                  <c:v>Apr 2025</c:v>
                </c:pt>
                <c:pt idx="4">
                  <c:v>May 2025</c:v>
                </c:pt>
                <c:pt idx="5">
                  <c:v>Jun 2025</c:v>
                </c:pt>
                <c:pt idx="6">
                  <c:v>Jul 2025</c:v>
                </c:pt>
                <c:pt idx="7">
                  <c:v>Aug 2025</c:v>
                </c:pt>
                <c:pt idx="8">
                  <c:v>Sep 2025</c:v>
                </c:pt>
                <c:pt idx="9">
                  <c:v>Oct 2025</c:v>
                </c:pt>
                <c:pt idx="10">
                  <c:v>Nov 2025</c:v>
                </c:pt>
                <c:pt idx="11">
                  <c:v>Dec 2025</c:v>
                </c:pt>
              </c:strCache>
            </c:strRef>
          </c:cat>
          <c:val>
            <c:numRef>
              <c:f>'_Chart Helpers'!$J$2:$J$13</c:f>
              <c:numCache>
                <c:formatCode>General</c:formatCode>
                <c:ptCount val="12"/>
                <c:pt idx="0">
                  <c:v>15000</c:v>
                </c:pt>
                <c:pt idx="1">
                  <c:v>16000</c:v>
                </c:pt>
                <c:pt idx="2">
                  <c:v>17000</c:v>
                </c:pt>
                <c:pt idx="3">
                  <c:v>18500</c:v>
                </c:pt>
                <c:pt idx="4">
                  <c:v>20000</c:v>
                </c:pt>
                <c:pt idx="5">
                  <c:v>21500</c:v>
                </c:pt>
                <c:pt idx="6">
                  <c:v>23000</c:v>
                </c:pt>
                <c:pt idx="7">
                  <c:v>24500</c:v>
                </c:pt>
                <c:pt idx="8">
                  <c:v>26000</c:v>
                </c:pt>
                <c:pt idx="9">
                  <c:v>28000</c:v>
                </c:pt>
                <c:pt idx="10">
                  <c:v>29500</c:v>
                </c:pt>
                <c:pt idx="11">
                  <c:v>30000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6-0244-949C-1A057B067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038433"/>
        <c:axId val="982302182"/>
      </c:lineChart>
      <c:catAx>
        <c:axId val="5710384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A7B6C8"/>
                </a:solidFill>
                <a:latin typeface="Arial"/>
              </a:defRPr>
            </a:pPr>
            <a:endParaRPr lang="en-US"/>
          </a:p>
        </c:txPr>
        <c:crossAx val="982302182"/>
        <c:crosses val="autoZero"/>
        <c:auto val="1"/>
        <c:lblAlgn val="ctr"/>
        <c:lblOffset val="100"/>
        <c:noMultiLvlLbl val="1"/>
      </c:catAx>
      <c:valAx>
        <c:axId val="982302182"/>
        <c:scaling>
          <c:orientation val="minMax"/>
        </c:scaling>
        <c:delete val="0"/>
        <c:axPos val="l"/>
        <c:majorGridlines>
          <c:spPr>
            <a:ln>
              <a:solidFill>
                <a:srgbClr val="2E4052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rich>
          </c:tx>
          <c:overlay val="0"/>
        </c:title>
        <c:numFmt formatCode="0,&quot;K&quot;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A7B6C8"/>
                </a:solidFill>
                <a:latin typeface="Arial"/>
              </a:defRPr>
            </a:pPr>
            <a:endParaRPr lang="en-US"/>
          </a:p>
        </c:txPr>
        <c:crossAx val="571038433"/>
        <c:crosses val="autoZero"/>
        <c:crossBetween val="between"/>
      </c:valAx>
      <c:spPr>
        <a:solidFill>
          <a:srgbClr val="16212C"/>
        </a:solidFill>
      </c:spPr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A7B6C8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16212C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A7B6C8"/>
                </a:solidFill>
                <a:latin typeface="Arial"/>
              </a:defRPr>
            </a:pPr>
            <a:r>
              <a:rPr lang="en-US" b="0">
                <a:solidFill>
                  <a:srgbClr val="A7B6C8"/>
                </a:solidFill>
                <a:latin typeface="Arial"/>
              </a:rPr>
              <a:t>MRR vs target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MRR</c:v>
          </c:tx>
          <c:spPr>
            <a:solidFill>
              <a:srgbClr val="34D399"/>
            </a:solidFill>
            <a:ln cmpd="sng">
              <a:noFill/>
            </a:ln>
          </c:spPr>
          <c:invertIfNegative val="1"/>
          <c:cat>
            <c:strRef>
              <c:f>'_Chart Helpers'!$L$2:$L$13</c:f>
              <c:strCache>
                <c:ptCount val="12"/>
                <c:pt idx="0">
                  <c:v>Jan 2025</c:v>
                </c:pt>
                <c:pt idx="1">
                  <c:v>Feb 2025</c:v>
                </c:pt>
                <c:pt idx="2">
                  <c:v>Mar 2025</c:v>
                </c:pt>
                <c:pt idx="3">
                  <c:v>Apr 2025</c:v>
                </c:pt>
                <c:pt idx="4">
                  <c:v>May 2025</c:v>
                </c:pt>
                <c:pt idx="5">
                  <c:v>Jun 2025</c:v>
                </c:pt>
                <c:pt idx="6">
                  <c:v>Jul 2025</c:v>
                </c:pt>
                <c:pt idx="7">
                  <c:v>Aug 2025</c:v>
                </c:pt>
                <c:pt idx="8">
                  <c:v>Sep 2025</c:v>
                </c:pt>
                <c:pt idx="9">
                  <c:v>Oct 2025</c:v>
                </c:pt>
                <c:pt idx="10">
                  <c:v>Nov 2025</c:v>
                </c:pt>
                <c:pt idx="11">
                  <c:v>Dec 2025</c:v>
                </c:pt>
              </c:strCache>
            </c:strRef>
          </c:cat>
          <c:val>
            <c:numRef>
              <c:f>'_Chart Helpers'!$M$2:$M$13</c:f>
              <c:numCache>
                <c:formatCode>General</c:formatCode>
                <c:ptCount val="12"/>
                <c:pt idx="0">
                  <c:v>184000</c:v>
                </c:pt>
                <c:pt idx="1">
                  <c:v>192500</c:v>
                </c:pt>
                <c:pt idx="2">
                  <c:v>207800</c:v>
                </c:pt>
                <c:pt idx="3">
                  <c:v>224400</c:v>
                </c:pt>
                <c:pt idx="4">
                  <c:v>241600</c:v>
                </c:pt>
                <c:pt idx="5">
                  <c:v>258900</c:v>
                </c:pt>
                <c:pt idx="6">
                  <c:v>281300</c:v>
                </c:pt>
                <c:pt idx="7">
                  <c:v>303200</c:v>
                </c:pt>
                <c:pt idx="8">
                  <c:v>328500</c:v>
                </c:pt>
                <c:pt idx="9">
                  <c:v>351800</c:v>
                </c:pt>
                <c:pt idx="10">
                  <c:v>376400</c:v>
                </c:pt>
                <c:pt idx="11">
                  <c:v>403700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46F-014F-90B2-20159FAFAAFC}"/>
            </c:ext>
          </c:extLst>
        </c:ser>
        <c:ser>
          <c:idx val="1"/>
          <c:order val="1"/>
          <c:tx>
            <c:v>Target</c:v>
          </c:tx>
          <c:spPr>
            <a:solidFill>
              <a:srgbClr val="E97132"/>
            </a:solidFill>
            <a:ln cmpd="sng">
              <a:noFill/>
            </a:ln>
          </c:spPr>
          <c:invertIfNegative val="1"/>
          <c:cat>
            <c:strRef>
              <c:f>'_Chart Helpers'!$L$2:$L$13</c:f>
              <c:strCache>
                <c:ptCount val="12"/>
                <c:pt idx="0">
                  <c:v>Jan 2025</c:v>
                </c:pt>
                <c:pt idx="1">
                  <c:v>Feb 2025</c:v>
                </c:pt>
                <c:pt idx="2">
                  <c:v>Mar 2025</c:v>
                </c:pt>
                <c:pt idx="3">
                  <c:v>Apr 2025</c:v>
                </c:pt>
                <c:pt idx="4">
                  <c:v>May 2025</c:v>
                </c:pt>
                <c:pt idx="5">
                  <c:v>Jun 2025</c:v>
                </c:pt>
                <c:pt idx="6">
                  <c:v>Jul 2025</c:v>
                </c:pt>
                <c:pt idx="7">
                  <c:v>Aug 2025</c:v>
                </c:pt>
                <c:pt idx="8">
                  <c:v>Sep 2025</c:v>
                </c:pt>
                <c:pt idx="9">
                  <c:v>Oct 2025</c:v>
                </c:pt>
                <c:pt idx="10">
                  <c:v>Nov 2025</c:v>
                </c:pt>
                <c:pt idx="11">
                  <c:v>Dec 2025</c:v>
                </c:pt>
              </c:strCache>
            </c:strRef>
          </c:cat>
          <c:val>
            <c:numRef>
              <c:f>'_Chart Helpers'!$N$2:$N$13</c:f>
              <c:numCache>
                <c:formatCode>General</c:formatCode>
                <c:ptCount val="12"/>
                <c:pt idx="0">
                  <c:v>185000</c:v>
                </c:pt>
                <c:pt idx="1">
                  <c:v>195000</c:v>
                </c:pt>
                <c:pt idx="2">
                  <c:v>205000</c:v>
                </c:pt>
                <c:pt idx="3">
                  <c:v>230000</c:v>
                </c:pt>
                <c:pt idx="4">
                  <c:v>245000</c:v>
                </c:pt>
                <c:pt idx="5">
                  <c:v>262000</c:v>
                </c:pt>
                <c:pt idx="6">
                  <c:v>285000</c:v>
                </c:pt>
                <c:pt idx="7">
                  <c:v>300000</c:v>
                </c:pt>
                <c:pt idx="8">
                  <c:v>330000</c:v>
                </c:pt>
                <c:pt idx="9">
                  <c:v>355000</c:v>
                </c:pt>
                <c:pt idx="10">
                  <c:v>380000</c:v>
                </c:pt>
                <c:pt idx="11">
                  <c:v>400000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46F-014F-90B2-20159FAFA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6762807"/>
        <c:axId val="1313677059"/>
      </c:barChart>
      <c:catAx>
        <c:axId val="3767628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A7B6C8"/>
                </a:solidFill>
                <a:latin typeface="Arial"/>
              </a:defRPr>
            </a:pPr>
            <a:endParaRPr lang="en-US"/>
          </a:p>
        </c:txPr>
        <c:crossAx val="1313677059"/>
        <c:crosses val="autoZero"/>
        <c:auto val="1"/>
        <c:lblAlgn val="ctr"/>
        <c:lblOffset val="100"/>
        <c:noMultiLvlLbl val="1"/>
      </c:catAx>
      <c:valAx>
        <c:axId val="1313677059"/>
        <c:scaling>
          <c:orientation val="minMax"/>
        </c:scaling>
        <c:delete val="0"/>
        <c:axPos val="l"/>
        <c:majorGridlines>
          <c:spPr>
            <a:ln>
              <a:solidFill>
                <a:srgbClr val="2E4052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rich>
          </c:tx>
          <c:overlay val="0"/>
        </c:title>
        <c:numFmt formatCode="\$0,&quot;K&quot;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A7B6C8"/>
                </a:solidFill>
                <a:latin typeface="Arial"/>
              </a:defRPr>
            </a:pPr>
            <a:endParaRPr lang="en-US"/>
          </a:p>
        </c:txPr>
        <c:crossAx val="376762807"/>
        <c:crosses val="autoZero"/>
        <c:crossBetween val="between"/>
      </c:valAx>
      <c:spPr>
        <a:solidFill>
          <a:srgbClr val="16212C"/>
        </a:solidFill>
      </c:spPr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A7B6C8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16212C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A7B6C8"/>
                </a:solidFill>
                <a:latin typeface="Arial"/>
              </a:defRPr>
            </a:pPr>
            <a:r>
              <a:rPr lang="en-US" b="0">
                <a:solidFill>
                  <a:srgbClr val="A7B6C8"/>
                </a:solidFill>
                <a:latin typeface="Arial"/>
              </a:rPr>
              <a:t>Visitor-to-paid funnel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v>Users</c:v>
          </c:tx>
          <c:spPr>
            <a:solidFill>
              <a:srgbClr val="43D3FF"/>
            </a:solidFill>
            <a:ln cmpd="sng">
              <a:noFill/>
            </a:ln>
          </c:spPr>
          <c:invertIfNegative val="1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 lvl="0">
                    <a:defRPr sz="900" b="1" i="0">
                      <a:solidFill>
                        <a:schemeClr val="bg1">
                          <a:lumMod val="75000"/>
                        </a:schemeClr>
                      </a:solidFill>
                      <a:latin typeface="Arial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FB5-2748-82AB-892FB9686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'_Chart Helpers'!$P$2:$P$6</c:f>
              <c:strCache>
                <c:ptCount val="5"/>
                <c:pt idx="0">
                  <c:v>Paid Accounts</c:v>
                </c:pt>
                <c:pt idx="1">
                  <c:v>Activated Users</c:v>
                </c:pt>
                <c:pt idx="2">
                  <c:v>Signed Up</c:v>
                </c:pt>
                <c:pt idx="3">
                  <c:v>Signup Started</c:v>
                </c:pt>
                <c:pt idx="4">
                  <c:v>Site Visitors</c:v>
                </c:pt>
              </c:strCache>
            </c:strRef>
          </c:cat>
          <c:val>
            <c:numRef>
              <c:f>'_Chart Helpers'!$Q$2:$Q$6</c:f>
              <c:numCache>
                <c:formatCode>#,##0;[Red]\(#,##0\);\-</c:formatCode>
                <c:ptCount val="5"/>
                <c:pt idx="0">
                  <c:v>871.46301374999985</c:v>
                </c:pt>
                <c:pt idx="1">
                  <c:v>9270.8831249999985</c:v>
                </c:pt>
                <c:pt idx="2">
                  <c:v>16123.275</c:v>
                </c:pt>
                <c:pt idx="3">
                  <c:v>22837.5</c:v>
                </c:pt>
                <c:pt idx="4">
                  <c:v>182700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FB5-2748-82AB-892FB9686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2910587"/>
        <c:axId val="2009006557"/>
      </c:barChart>
      <c:catAx>
        <c:axId val="144291058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A7B6C8"/>
                </a:solidFill>
                <a:latin typeface="Arial"/>
              </a:defRPr>
            </a:pPr>
            <a:endParaRPr lang="en-US"/>
          </a:p>
        </c:txPr>
        <c:crossAx val="2009006557"/>
        <c:crosses val="autoZero"/>
        <c:auto val="1"/>
        <c:lblAlgn val="ctr"/>
        <c:lblOffset val="100"/>
        <c:noMultiLvlLbl val="1"/>
      </c:catAx>
      <c:valAx>
        <c:axId val="2009006557"/>
        <c:scaling>
          <c:orientation val="minMax"/>
        </c:scaling>
        <c:delete val="0"/>
        <c:axPos val="b"/>
        <c:majorGridlines>
          <c:spPr>
            <a:ln>
              <a:solidFill>
                <a:srgbClr val="2E4052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rich>
          </c:tx>
          <c:overlay val="0"/>
        </c:title>
        <c:numFmt formatCode="0,&quot;K&quot;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sz="1000" b="1" i="0">
                <a:solidFill>
                  <a:srgbClr val="A7B6C8"/>
                </a:solidFill>
                <a:latin typeface="Arial"/>
              </a:defRPr>
            </a:pPr>
            <a:endParaRPr lang="en-US"/>
          </a:p>
        </c:txPr>
        <c:crossAx val="1442910587"/>
        <c:crosses val="max"/>
        <c:crossBetween val="between"/>
      </c:valAx>
      <c:spPr>
        <a:solidFill>
          <a:srgbClr val="16212C"/>
        </a:solidFill>
      </c:spPr>
    </c:plotArea>
    <c:plotVisOnly val="1"/>
    <c:dispBlanksAs val="zero"/>
    <c:showDLblsOverMax val="1"/>
  </c:chart>
  <c:spPr>
    <a:solidFill>
      <a:srgbClr val="16212C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A7B6C8"/>
                </a:solidFill>
                <a:latin typeface="Arial"/>
              </a:defRPr>
            </a:pPr>
            <a:r>
              <a:rPr lang="en-US" b="0">
                <a:solidFill>
                  <a:srgbClr val="A7B6C8"/>
                </a:solidFill>
                <a:latin typeface="Arial"/>
              </a:rPr>
              <a:t>Selected-period MRR mix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6082"/>
              </a:solidFill>
            </c:spPr>
            <c:extLst>
              <c:ext xmlns:c16="http://schemas.microsoft.com/office/drawing/2014/chart" uri="{C3380CC4-5D6E-409C-BE32-E72D297353CC}">
                <c16:uniqueId val="{00000001-DD90-E346-84D4-5EE721384D62}"/>
              </c:ext>
            </c:extLst>
          </c:dPt>
          <c:dPt>
            <c:idx val="1"/>
            <c:bubble3D val="0"/>
            <c:spPr>
              <a:solidFill>
                <a:srgbClr val="E97132"/>
              </a:solidFill>
            </c:spPr>
            <c:extLst>
              <c:ext xmlns:c16="http://schemas.microsoft.com/office/drawing/2014/chart" uri="{C3380CC4-5D6E-409C-BE32-E72D297353CC}">
                <c16:uniqueId val="{00000003-DD90-E346-84D4-5EE721384D62}"/>
              </c:ext>
            </c:extLst>
          </c:dPt>
          <c:dPt>
            <c:idx val="2"/>
            <c:bubble3D val="0"/>
            <c:spPr>
              <a:solidFill>
                <a:srgbClr val="196B24"/>
              </a:solidFill>
            </c:spPr>
            <c:extLst>
              <c:ext xmlns:c16="http://schemas.microsoft.com/office/drawing/2014/chart" uri="{C3380CC4-5D6E-409C-BE32-E72D297353CC}">
                <c16:uniqueId val="{00000005-DD90-E346-84D4-5EE721384D62}"/>
              </c:ext>
            </c:extLst>
          </c:dPt>
          <c:dPt>
            <c:idx val="3"/>
            <c:bubble3D val="0"/>
            <c:spPr>
              <a:solidFill>
                <a:srgbClr val="0F9ED5"/>
              </a:solidFill>
            </c:spPr>
            <c:extLst>
              <c:ext xmlns:c16="http://schemas.microsoft.com/office/drawing/2014/chart" uri="{C3380CC4-5D6E-409C-BE32-E72D297353CC}">
                <c16:uniqueId val="{00000007-DD90-E346-84D4-5EE721384D62}"/>
              </c:ext>
            </c:extLst>
          </c:dPt>
          <c:cat>
            <c:strRef>
              <c:f>'_Chart Helpers'!$S$2:$S$5</c:f>
              <c:strCache>
                <c:ptCount val="4"/>
                <c:pt idx="0">
                  <c:v>Self-Svc</c:v>
                </c:pt>
                <c:pt idx="1">
                  <c:v>SMB</c:v>
                </c:pt>
                <c:pt idx="2">
                  <c:v>Midmarket</c:v>
                </c:pt>
                <c:pt idx="3">
                  <c:v>Enterprise</c:v>
                </c:pt>
              </c:strCache>
            </c:strRef>
          </c:cat>
          <c:val>
            <c:numRef>
              <c:f>'_Chart Helpers'!$T$2:$T$5</c:f>
              <c:numCache>
                <c:formatCode>\$#,##0;[Red]\(\$#,##0\);\-</c:formatCode>
                <c:ptCount val="4"/>
                <c:pt idx="0">
                  <c:v>40370</c:v>
                </c:pt>
                <c:pt idx="1">
                  <c:v>60555</c:v>
                </c:pt>
                <c:pt idx="2">
                  <c:v>121110</c:v>
                </c:pt>
                <c:pt idx="3">
                  <c:v>181665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90-E346-84D4-5EE721384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16212C"/>
        </a:solidFill>
      </c:spPr>
    </c:plotArea>
    <c:legend>
      <c:legendPos val="b"/>
      <c:overlay val="0"/>
      <c:txPr>
        <a:bodyPr/>
        <a:lstStyle/>
        <a:p>
          <a:pPr lvl="0">
            <a:defRPr b="1" i="0">
              <a:solidFill>
                <a:srgbClr val="A7B6C8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16212C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15</xdr:row>
      <xdr:rowOff>0</xdr:rowOff>
    </xdr:from>
    <xdr:to>
      <xdr:col>17</xdr:col>
      <xdr:colOff>0</xdr:colOff>
      <xdr:row>28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0</xdr:colOff>
      <xdr:row>41</xdr:row>
      <xdr:rowOff>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29</xdr:row>
      <xdr:rowOff>0</xdr:rowOff>
    </xdr:from>
    <xdr:to>
      <xdr:col>17</xdr:col>
      <xdr:colOff>0</xdr:colOff>
      <xdr:row>41</xdr:row>
      <xdr:rowOff>0</xdr:rowOff>
    </xdr:to>
    <xdr:graphicFrame macro="">
      <xdr:nvGraphicFramePr>
        <xdr:cNvPr id="5" name="Chart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53"/>
  <sheetViews>
    <sheetView showGridLines="0" tabSelected="1" workbookViewId="0"/>
  </sheetViews>
  <sheetFormatPr baseColWidth="10" defaultColWidth="8.83203125" defaultRowHeight="14" x14ac:dyDescent="0.15"/>
  <cols>
    <col min="1" max="1" width="3.33203125" style="27" customWidth="1"/>
    <col min="2" max="2" width="20" style="27" customWidth="1"/>
    <col min="3" max="5" width="11" style="27" customWidth="1"/>
    <col min="6" max="17" width="13" style="27" customWidth="1"/>
    <col min="18" max="16384" width="8.83203125" style="27"/>
  </cols>
  <sheetData>
    <row r="2" spans="2:17" ht="24" customHeight="1" x14ac:dyDescent="0.15">
      <c r="B2" s="39" t="s">
        <v>0</v>
      </c>
      <c r="C2" s="39"/>
      <c r="D2" s="39"/>
      <c r="E2" s="39"/>
      <c r="F2" s="39"/>
      <c r="G2" s="39"/>
      <c r="H2" s="39"/>
      <c r="I2" s="39"/>
      <c r="J2" s="40" t="s">
        <v>1</v>
      </c>
      <c r="K2" s="41" t="s">
        <v>1</v>
      </c>
      <c r="L2" s="41" t="s">
        <v>1</v>
      </c>
      <c r="M2" s="42" t="s">
        <v>1</v>
      </c>
      <c r="N2" s="40" t="s">
        <v>2</v>
      </c>
      <c r="O2" s="41" t="s">
        <v>2</v>
      </c>
      <c r="P2" s="41" t="s">
        <v>2</v>
      </c>
      <c r="Q2" s="42" t="s">
        <v>2</v>
      </c>
    </row>
    <row r="3" spans="2:17" ht="24" customHeight="1" x14ac:dyDescent="0.15">
      <c r="B3" s="38" t="s">
        <v>3</v>
      </c>
      <c r="C3" s="38"/>
      <c r="D3" s="38"/>
      <c r="E3" s="38"/>
      <c r="F3" s="38"/>
      <c r="G3" s="38"/>
      <c r="H3" s="38"/>
      <c r="I3" s="38"/>
      <c r="J3" s="43">
        <f>'Data &amp; Targets'!$C$9</f>
        <v>45992</v>
      </c>
      <c r="K3" s="44"/>
      <c r="L3" s="44"/>
      <c r="M3" s="45"/>
      <c r="N3" s="43">
        <f>'Data &amp; Targets'!$C$10</f>
        <v>45992</v>
      </c>
      <c r="O3" s="44"/>
      <c r="P3" s="44"/>
      <c r="Q3" s="45"/>
    </row>
    <row r="4" spans="2:17" ht="20" customHeight="1" x14ac:dyDescent="0.15">
      <c r="B4" s="46" t="str">
        <f>"Source: "&amp;'Data &amp; Targets'!$C$11</f>
        <v>Source: Synthetic generic example data for template review; replace only yellow inputs.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2:17" ht="20" customHeight="1" x14ac:dyDescent="0.15">
      <c r="B5" s="47" t="s">
        <v>4</v>
      </c>
      <c r="C5" s="48" t="s">
        <v>4</v>
      </c>
      <c r="D5" s="48" t="s">
        <v>4</v>
      </c>
      <c r="E5" s="49" t="s">
        <v>4</v>
      </c>
      <c r="F5" s="47" t="s">
        <v>5</v>
      </c>
      <c r="G5" s="48" t="s">
        <v>5</v>
      </c>
      <c r="H5" s="48" t="s">
        <v>5</v>
      </c>
      <c r="I5" s="49" t="s">
        <v>5</v>
      </c>
      <c r="J5" s="47" t="s">
        <v>6</v>
      </c>
      <c r="K5" s="48" t="s">
        <v>6</v>
      </c>
      <c r="L5" s="48" t="s">
        <v>6</v>
      </c>
      <c r="M5" s="49" t="s">
        <v>6</v>
      </c>
      <c r="N5" s="47" t="s">
        <v>7</v>
      </c>
      <c r="O5" s="48" t="s">
        <v>7</v>
      </c>
      <c r="P5" s="48" t="s">
        <v>7</v>
      </c>
      <c r="Q5" s="49" t="s">
        <v>7</v>
      </c>
    </row>
    <row r="6" spans="2:17" ht="27" customHeight="1" x14ac:dyDescent="0.15">
      <c r="B6" s="50">
        <f>'_Chart Helpers'!$B$2</f>
        <v>31500</v>
      </c>
      <c r="C6" s="51"/>
      <c r="D6" s="51"/>
      <c r="E6" s="52"/>
      <c r="F6" s="50">
        <f>'_Chart Helpers'!$B$3</f>
        <v>4480</v>
      </c>
      <c r="G6" s="51"/>
      <c r="H6" s="51"/>
      <c r="I6" s="52"/>
      <c r="J6" s="53">
        <f>'_Chart Helpers'!$B$4</f>
        <v>0.81100000000000005</v>
      </c>
      <c r="K6" s="54"/>
      <c r="L6" s="54"/>
      <c r="M6" s="55"/>
      <c r="N6" s="53">
        <f>'_Chart Helpers'!$B$5</f>
        <v>5.3999999999999999E-2</v>
      </c>
      <c r="O6" s="54"/>
      <c r="P6" s="54"/>
      <c r="Q6" s="55"/>
    </row>
    <row r="7" spans="2:17" ht="27" customHeight="1" x14ac:dyDescent="0.15">
      <c r="B7" s="50"/>
      <c r="C7" s="51"/>
      <c r="D7" s="51"/>
      <c r="E7" s="52"/>
      <c r="F7" s="50"/>
      <c r="G7" s="51"/>
      <c r="H7" s="51"/>
      <c r="I7" s="52"/>
      <c r="J7" s="53"/>
      <c r="K7" s="54"/>
      <c r="L7" s="54"/>
      <c r="M7" s="55"/>
      <c r="N7" s="53"/>
      <c r="O7" s="54"/>
      <c r="P7" s="54"/>
      <c r="Q7" s="55"/>
    </row>
    <row r="8" spans="2:17" ht="20" customHeight="1" x14ac:dyDescent="0.15">
      <c r="B8" s="13">
        <f>IF('_Chart Helpers'!$D$2="","",'_Chart Helpers'!$B$2/'_Chart Helpers'!$D$2-1)</f>
        <v>6.2394603709949426E-2</v>
      </c>
      <c r="C8" s="14" t="s">
        <v>8</v>
      </c>
      <c r="D8" s="15">
        <f>IFERROR('_Chart Helpers'!$B$2/'_Chart Helpers'!$C$2-1,"")</f>
        <v>5.0000000000000044E-2</v>
      </c>
      <c r="E8" s="16" t="s">
        <v>9</v>
      </c>
      <c r="F8" s="13">
        <f>IF('_Chart Helpers'!$D$3="","",'_Chart Helpers'!$B$3/'_Chart Helpers'!$D$3-1)</f>
        <v>5.6603773584905648E-2</v>
      </c>
      <c r="G8" s="14" t="s">
        <v>8</v>
      </c>
      <c r="H8" s="15">
        <f>IFERROR('_Chart Helpers'!$B$3/'_Chart Helpers'!$C$3-1,"")</f>
        <v>1.8181818181818077E-2</v>
      </c>
      <c r="I8" s="16" t="s">
        <v>9</v>
      </c>
      <c r="J8" s="13">
        <f>IF('_Chart Helpers'!$D$4="","",'_Chart Helpers'!$B$4/'_Chart Helpers'!$D$4-1)</f>
        <v>9.9626400996264408E-3</v>
      </c>
      <c r="K8" s="14" t="s">
        <v>8</v>
      </c>
      <c r="L8" s="15">
        <f>IFERROR('_Chart Helpers'!$B$4/'_Chart Helpers'!$C$4-1,"")</f>
        <v>1.3749999999999929E-2</v>
      </c>
      <c r="M8" s="16" t="s">
        <v>9</v>
      </c>
      <c r="N8" s="13">
        <f>IF('_Chart Helpers'!$D$5="","",'_Chart Helpers'!$B$5/'_Chart Helpers'!$D$5-1)</f>
        <v>3.8461538461538547E-2</v>
      </c>
      <c r="O8" s="14" t="s">
        <v>8</v>
      </c>
      <c r="P8" s="15">
        <f>IFERROR('_Chart Helpers'!$B$5/'_Chart Helpers'!$C$5-1,"")</f>
        <v>7.9999999999999849E-2</v>
      </c>
      <c r="Q8" s="16" t="s">
        <v>9</v>
      </c>
    </row>
    <row r="9" spans="2:17" x14ac:dyDescent="0.1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2:17" ht="20" customHeight="1" x14ac:dyDescent="0.15">
      <c r="B10" s="47" t="s">
        <v>10</v>
      </c>
      <c r="C10" s="48" t="s">
        <v>10</v>
      </c>
      <c r="D10" s="48" t="s">
        <v>10</v>
      </c>
      <c r="E10" s="49" t="s">
        <v>10</v>
      </c>
      <c r="F10" s="47" t="s">
        <v>11</v>
      </c>
      <c r="G10" s="48" t="s">
        <v>11</v>
      </c>
      <c r="H10" s="48" t="s">
        <v>11</v>
      </c>
      <c r="I10" s="49" t="s">
        <v>11</v>
      </c>
      <c r="J10" s="47" t="s">
        <v>12</v>
      </c>
      <c r="K10" s="48" t="s">
        <v>12</v>
      </c>
      <c r="L10" s="48" t="s">
        <v>12</v>
      </c>
      <c r="M10" s="49" t="s">
        <v>12</v>
      </c>
      <c r="N10" s="47" t="s">
        <v>13</v>
      </c>
      <c r="O10" s="48" t="s">
        <v>13</v>
      </c>
      <c r="P10" s="48" t="s">
        <v>13</v>
      </c>
      <c r="Q10" s="49" t="s">
        <v>13</v>
      </c>
    </row>
    <row r="11" spans="2:17" ht="27" customHeight="1" x14ac:dyDescent="0.15">
      <c r="B11" s="78">
        <f>'_Chart Helpers'!$B$6</f>
        <v>6.2</v>
      </c>
      <c r="C11" s="79"/>
      <c r="D11" s="79"/>
      <c r="E11" s="80"/>
      <c r="F11" s="81">
        <f>'_Chart Helpers'!$B$7</f>
        <v>403700</v>
      </c>
      <c r="G11" s="82"/>
      <c r="H11" s="82"/>
      <c r="I11" s="83"/>
      <c r="J11" s="53">
        <f>'_Chart Helpers'!$B$8</f>
        <v>0.34</v>
      </c>
      <c r="K11" s="54"/>
      <c r="L11" s="54"/>
      <c r="M11" s="55"/>
      <c r="N11" s="75">
        <f>'_Chart Helpers'!$B$9</f>
        <v>12.815873015873017</v>
      </c>
      <c r="O11" s="76"/>
      <c r="P11" s="76"/>
      <c r="Q11" s="77"/>
    </row>
    <row r="12" spans="2:17" ht="27" customHeight="1" x14ac:dyDescent="0.15">
      <c r="B12" s="78"/>
      <c r="C12" s="79"/>
      <c r="D12" s="79"/>
      <c r="E12" s="80"/>
      <c r="F12" s="81"/>
      <c r="G12" s="82"/>
      <c r="H12" s="82"/>
      <c r="I12" s="83"/>
      <c r="J12" s="53"/>
      <c r="K12" s="54"/>
      <c r="L12" s="54"/>
      <c r="M12" s="55"/>
      <c r="N12" s="75"/>
      <c r="O12" s="76"/>
      <c r="P12" s="76"/>
      <c r="Q12" s="77"/>
    </row>
    <row r="13" spans="2:17" ht="20" customHeight="1" x14ac:dyDescent="0.15">
      <c r="B13" s="13">
        <f>IF('_Chart Helpers'!$D$6="","",'_Chart Helpers'!$B$6/'_Chart Helpers'!$D$6-1)</f>
        <v>3.3333333333333437E-2</v>
      </c>
      <c r="C13" s="14" t="s">
        <v>8</v>
      </c>
      <c r="D13" s="15">
        <f>IFERROR('_Chart Helpers'!$B$6/'_Chart Helpers'!$C$6-1,"")</f>
        <v>3.3333333333333437E-2</v>
      </c>
      <c r="E13" s="16" t="s">
        <v>9</v>
      </c>
      <c r="F13" s="13">
        <f>IF('_Chart Helpers'!$D$7="","",'_Chart Helpers'!$B$7/'_Chart Helpers'!$D$7-1)</f>
        <v>7.2529224229542999E-2</v>
      </c>
      <c r="G13" s="14" t="s">
        <v>8</v>
      </c>
      <c r="H13" s="15">
        <f>IFERROR('_Chart Helpers'!$B$7/'_Chart Helpers'!$C$7-1,"")</f>
        <v>9.2499999999999805E-3</v>
      </c>
      <c r="I13" s="16" t="s">
        <v>9</v>
      </c>
      <c r="J13" s="13">
        <f>IF('_Chart Helpers'!$D$8="","",'_Chart Helpers'!$B$8/'_Chart Helpers'!$D$8-1)</f>
        <v>-2.857142857142847E-2</v>
      </c>
      <c r="K13" s="14" t="s">
        <v>8</v>
      </c>
      <c r="L13" s="15">
        <f>IFERROR('_Chart Helpers'!$B$8/'_Chart Helpers'!$C$8-1,"")</f>
        <v>-5.5555555555555469E-2</v>
      </c>
      <c r="M13" s="16" t="s">
        <v>9</v>
      </c>
      <c r="N13" s="13">
        <f>IF('_Chart Helpers'!$D$9="","",'_Chart Helpers'!$B$9/'_Chart Helpers'!$D$9-1)</f>
        <v>9.5394126478081098E-3</v>
      </c>
      <c r="O13" s="14" t="s">
        <v>8</v>
      </c>
      <c r="P13" s="15">
        <f>IFERROR('_Chart Helpers'!$B$9/'_Chart Helpers'!$C$9-1,"")</f>
        <v>-3.8809523809523849E-2</v>
      </c>
      <c r="Q13" s="16" t="s">
        <v>9</v>
      </c>
    </row>
    <row r="14" spans="2:17" x14ac:dyDescent="0.1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2:17" ht="22" customHeight="1" x14ac:dyDescent="0.15">
      <c r="B15" s="56" t="s">
        <v>14</v>
      </c>
      <c r="C15" s="56" t="s">
        <v>14</v>
      </c>
      <c r="D15" s="56" t="s">
        <v>14</v>
      </c>
      <c r="E15" s="56" t="s">
        <v>14</v>
      </c>
      <c r="F15" s="56" t="s">
        <v>14</v>
      </c>
      <c r="G15" s="56" t="s">
        <v>14</v>
      </c>
      <c r="H15" s="56" t="s">
        <v>14</v>
      </c>
      <c r="I15" s="56" t="s">
        <v>14</v>
      </c>
      <c r="J15" s="56" t="s">
        <v>15</v>
      </c>
      <c r="K15" s="56" t="s">
        <v>15</v>
      </c>
      <c r="L15" s="56" t="s">
        <v>15</v>
      </c>
      <c r="M15" s="56" t="s">
        <v>15</v>
      </c>
      <c r="N15" s="56" t="s">
        <v>15</v>
      </c>
      <c r="O15" s="56" t="s">
        <v>15</v>
      </c>
      <c r="P15" s="56" t="s">
        <v>15</v>
      </c>
      <c r="Q15" s="56" t="s">
        <v>15</v>
      </c>
    </row>
    <row r="16" spans="2:17" x14ac:dyDescent="0.1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2:17" x14ac:dyDescent="0.1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2:17" x14ac:dyDescent="0.15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2:17" x14ac:dyDescent="0.1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2:17" x14ac:dyDescent="0.15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2:17" x14ac:dyDescent="0.15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2:17" x14ac:dyDescent="0.1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2:17" x14ac:dyDescent="0.1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2:17" x14ac:dyDescent="0.1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2:17" x14ac:dyDescent="0.1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2:17" x14ac:dyDescent="0.1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2:17" x14ac:dyDescent="0.1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2:17" x14ac:dyDescent="0.1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2:17" ht="22" customHeight="1" x14ac:dyDescent="0.15">
      <c r="B29" s="56" t="s">
        <v>16</v>
      </c>
      <c r="C29" s="56" t="s">
        <v>16</v>
      </c>
      <c r="D29" s="56" t="s">
        <v>16</v>
      </c>
      <c r="E29" s="56" t="s">
        <v>16</v>
      </c>
      <c r="F29" s="56" t="s">
        <v>16</v>
      </c>
      <c r="G29" s="56" t="s">
        <v>16</v>
      </c>
      <c r="H29" s="56" t="s">
        <v>16</v>
      </c>
      <c r="I29" s="56" t="s">
        <v>16</v>
      </c>
      <c r="J29" s="56" t="s">
        <v>17</v>
      </c>
      <c r="K29" s="56" t="s">
        <v>17</v>
      </c>
      <c r="L29" s="56" t="s">
        <v>17</v>
      </c>
      <c r="M29" s="56" t="s">
        <v>17</v>
      </c>
      <c r="N29" s="56" t="s">
        <v>17</v>
      </c>
      <c r="O29" s="56" t="s">
        <v>17</v>
      </c>
      <c r="P29" s="56" t="s">
        <v>17</v>
      </c>
      <c r="Q29" s="56" t="s">
        <v>17</v>
      </c>
    </row>
    <row r="30" spans="2:17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2:17" x14ac:dyDescent="0.1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2:17" x14ac:dyDescent="0.1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2:17" x14ac:dyDescent="0.1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2:17" x14ac:dyDescent="0.1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2:17" x14ac:dyDescent="0.15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2:17" x14ac:dyDescent="0.1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2:17" x14ac:dyDescent="0.1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2:17" x14ac:dyDescent="0.1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2:17" x14ac:dyDescent="0.1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2:17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2:17" x14ac:dyDescent="0.1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2:17" x14ac:dyDescent="0.1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2:17" ht="22" customHeight="1" x14ac:dyDescent="0.15">
      <c r="B43" s="56" t="s">
        <v>18</v>
      </c>
      <c r="C43" s="56" t="s">
        <v>18</v>
      </c>
      <c r="D43" s="56" t="s">
        <v>18</v>
      </c>
      <c r="E43" s="56" t="s">
        <v>18</v>
      </c>
      <c r="F43" s="56" t="s">
        <v>18</v>
      </c>
      <c r="G43" s="56" t="s">
        <v>18</v>
      </c>
      <c r="H43" s="56" t="s">
        <v>18</v>
      </c>
      <c r="I43" s="56" t="s">
        <v>18</v>
      </c>
      <c r="J43" s="56" t="s">
        <v>18</v>
      </c>
      <c r="K43" s="56" t="s">
        <v>18</v>
      </c>
      <c r="L43" s="56" t="s">
        <v>18</v>
      </c>
      <c r="M43" s="56" t="s">
        <v>18</v>
      </c>
      <c r="N43" s="56" t="s">
        <v>18</v>
      </c>
      <c r="O43" s="56" t="s">
        <v>18</v>
      </c>
      <c r="P43" s="56" t="s">
        <v>18</v>
      </c>
      <c r="Q43" s="56" t="s">
        <v>18</v>
      </c>
    </row>
    <row r="44" spans="2:17" ht="26" customHeight="1" x14ac:dyDescent="0.15">
      <c r="B44" s="17" t="s">
        <v>19</v>
      </c>
      <c r="C44" s="17" t="s">
        <v>20</v>
      </c>
      <c r="D44" s="17" t="s">
        <v>21</v>
      </c>
      <c r="E44" s="17" t="s">
        <v>22</v>
      </c>
      <c r="F44" s="17" t="s">
        <v>23</v>
      </c>
      <c r="G44" s="17" t="s">
        <v>24</v>
      </c>
      <c r="H44" s="17" t="s">
        <v>25</v>
      </c>
      <c r="I44" s="12"/>
      <c r="J44" s="12"/>
      <c r="K44" s="12"/>
      <c r="L44" s="12"/>
      <c r="M44" s="12"/>
      <c r="N44" s="12"/>
      <c r="O44" s="12"/>
      <c r="P44" s="12"/>
      <c r="Q44" s="12"/>
    </row>
    <row r="45" spans="2:17" x14ac:dyDescent="0.15">
      <c r="B45" s="18" t="str">
        <f>'_Chart Helpers'!$A$2</f>
        <v>Active Users</v>
      </c>
      <c r="C45" s="19" t="str">
        <f>'_Chart Helpers'!$E$2</f>
        <v>Higher</v>
      </c>
      <c r="D45" s="20">
        <f>'_Chart Helpers'!$B$2</f>
        <v>31500</v>
      </c>
      <c r="E45" s="20">
        <f>'_Chart Helpers'!$C$2</f>
        <v>30000</v>
      </c>
      <c r="F45" s="20">
        <f t="shared" ref="F45:F52" si="0">D45-E45</f>
        <v>1500</v>
      </c>
      <c r="G45" s="21">
        <f t="shared" ref="G45:G52" si="1">IFERROR(D45/E45-1,"")</f>
        <v>5.0000000000000044E-2</v>
      </c>
      <c r="H45" s="19" t="str">
        <f>'_Chart Helpers'!$F$2</f>
        <v>Favorable</v>
      </c>
      <c r="I45" s="12"/>
      <c r="J45" s="57" t="s">
        <v>26</v>
      </c>
      <c r="K45" s="58" t="s">
        <v>26</v>
      </c>
      <c r="L45" s="58" t="s">
        <v>26</v>
      </c>
      <c r="M45" s="58" t="s">
        <v>26</v>
      </c>
      <c r="N45" s="58" t="s">
        <v>26</v>
      </c>
      <c r="O45" s="58" t="s">
        <v>26</v>
      </c>
      <c r="P45" s="58" t="s">
        <v>26</v>
      </c>
      <c r="Q45" s="59" t="s">
        <v>26</v>
      </c>
    </row>
    <row r="46" spans="2:17" x14ac:dyDescent="0.15">
      <c r="B46" s="18" t="str">
        <f>'_Chart Helpers'!$A$3</f>
        <v>New Users</v>
      </c>
      <c r="C46" s="19" t="str">
        <f>'_Chart Helpers'!$E$3</f>
        <v>Higher</v>
      </c>
      <c r="D46" s="20">
        <f>'_Chart Helpers'!$B$3</f>
        <v>4480</v>
      </c>
      <c r="E46" s="20">
        <f>'_Chart Helpers'!$C$3</f>
        <v>4400</v>
      </c>
      <c r="F46" s="20">
        <f t="shared" si="0"/>
        <v>80</v>
      </c>
      <c r="G46" s="21">
        <f t="shared" si="1"/>
        <v>1.8181818181818077E-2</v>
      </c>
      <c r="H46" s="19" t="str">
        <f>'_Chart Helpers'!$F$3</f>
        <v>Favorable</v>
      </c>
      <c r="I46" s="12"/>
      <c r="J46" s="60" t="s">
        <v>26</v>
      </c>
      <c r="K46" s="61" t="s">
        <v>26</v>
      </c>
      <c r="L46" s="61" t="s">
        <v>26</v>
      </c>
      <c r="M46" s="61" t="s">
        <v>26</v>
      </c>
      <c r="N46" s="61" t="s">
        <v>26</v>
      </c>
      <c r="O46" s="61" t="s">
        <v>26</v>
      </c>
      <c r="P46" s="61" t="s">
        <v>26</v>
      </c>
      <c r="Q46" s="62" t="s">
        <v>26</v>
      </c>
    </row>
    <row r="47" spans="2:17" x14ac:dyDescent="0.15">
      <c r="B47" s="18" t="str">
        <f>'_Chart Helpers'!$A$4</f>
        <v>30-Day Retention</v>
      </c>
      <c r="C47" s="19" t="str">
        <f>'_Chart Helpers'!$E$4</f>
        <v>Higher</v>
      </c>
      <c r="D47" s="21">
        <f>'_Chart Helpers'!$B$4</f>
        <v>0.81100000000000005</v>
      </c>
      <c r="E47" s="21">
        <f>'_Chart Helpers'!$C$4</f>
        <v>0.8</v>
      </c>
      <c r="F47" s="21">
        <f t="shared" si="0"/>
        <v>1.100000000000001E-2</v>
      </c>
      <c r="G47" s="21">
        <f t="shared" si="1"/>
        <v>1.3749999999999929E-2</v>
      </c>
      <c r="H47" s="19" t="str">
        <f>'_Chart Helpers'!$F$4</f>
        <v>Favorable</v>
      </c>
      <c r="I47" s="12"/>
      <c r="J47" s="60" t="s">
        <v>26</v>
      </c>
      <c r="K47" s="61" t="s">
        <v>26</v>
      </c>
      <c r="L47" s="61" t="s">
        <v>26</v>
      </c>
      <c r="M47" s="61" t="s">
        <v>26</v>
      </c>
      <c r="N47" s="61" t="s">
        <v>26</v>
      </c>
      <c r="O47" s="61" t="s">
        <v>26</v>
      </c>
      <c r="P47" s="61" t="s">
        <v>26</v>
      </c>
      <c r="Q47" s="62" t="s">
        <v>26</v>
      </c>
    </row>
    <row r="48" spans="2:17" x14ac:dyDescent="0.15">
      <c r="B48" s="18" t="str">
        <f>'_Chart Helpers'!$A$5</f>
        <v>Trial-to-Paid Conversion</v>
      </c>
      <c r="C48" s="19" t="str">
        <f>'_Chart Helpers'!$E$5</f>
        <v>Higher</v>
      </c>
      <c r="D48" s="21">
        <f>'_Chart Helpers'!$B$5</f>
        <v>5.3999999999999999E-2</v>
      </c>
      <c r="E48" s="21">
        <f>'_Chart Helpers'!$C$5</f>
        <v>0.05</v>
      </c>
      <c r="F48" s="21">
        <f t="shared" si="0"/>
        <v>3.9999999999999966E-3</v>
      </c>
      <c r="G48" s="21">
        <f t="shared" si="1"/>
        <v>7.9999999999999849E-2</v>
      </c>
      <c r="H48" s="19" t="str">
        <f>'_Chart Helpers'!$F$5</f>
        <v>Favorable</v>
      </c>
      <c r="I48" s="12"/>
      <c r="J48" s="63" t="s">
        <v>26</v>
      </c>
      <c r="K48" s="64" t="s">
        <v>26</v>
      </c>
      <c r="L48" s="64" t="s">
        <v>26</v>
      </c>
      <c r="M48" s="64" t="s">
        <v>26</v>
      </c>
      <c r="N48" s="64" t="s">
        <v>26</v>
      </c>
      <c r="O48" s="64" t="s">
        <v>26</v>
      </c>
      <c r="P48" s="64" t="s">
        <v>26</v>
      </c>
      <c r="Q48" s="65" t="s">
        <v>26</v>
      </c>
    </row>
    <row r="49" spans="2:17" x14ac:dyDescent="0.15">
      <c r="B49" s="18" t="str">
        <f>'_Chart Helpers'!$A$6</f>
        <v>Sessions / User</v>
      </c>
      <c r="C49" s="19" t="str">
        <f>'_Chart Helpers'!$E$6</f>
        <v>Higher</v>
      </c>
      <c r="D49" s="22">
        <f>'_Chart Helpers'!$B$6</f>
        <v>6.2</v>
      </c>
      <c r="E49" s="22">
        <f>'_Chart Helpers'!$C$6</f>
        <v>6</v>
      </c>
      <c r="F49" s="22">
        <f t="shared" si="0"/>
        <v>0.20000000000000018</v>
      </c>
      <c r="G49" s="21">
        <f t="shared" si="1"/>
        <v>3.3333333333333437E-2</v>
      </c>
      <c r="H49" s="19" t="str">
        <f>'_Chart Helpers'!$F$6</f>
        <v>Favorable</v>
      </c>
      <c r="I49" s="12"/>
      <c r="J49" s="12"/>
      <c r="K49" s="12"/>
      <c r="L49" s="12"/>
      <c r="M49" s="12"/>
      <c r="N49" s="12"/>
      <c r="O49" s="12"/>
      <c r="P49" s="12"/>
      <c r="Q49" s="12"/>
    </row>
    <row r="50" spans="2:17" x14ac:dyDescent="0.15">
      <c r="B50" s="18" t="str">
        <f>'_Chart Helpers'!$A$7</f>
        <v>Monthly Recurring Revenue</v>
      </c>
      <c r="C50" s="19" t="str">
        <f>'_Chart Helpers'!$E$7</f>
        <v>Higher</v>
      </c>
      <c r="D50" s="23">
        <f>'_Chart Helpers'!$B$7</f>
        <v>403700</v>
      </c>
      <c r="E50" s="23">
        <f>'_Chart Helpers'!$C$7</f>
        <v>400000</v>
      </c>
      <c r="F50" s="23">
        <f t="shared" si="0"/>
        <v>3700</v>
      </c>
      <c r="G50" s="21">
        <f t="shared" si="1"/>
        <v>9.2499999999999805E-3</v>
      </c>
      <c r="H50" s="19" t="str">
        <f>'_Chart Helpers'!$F$7</f>
        <v>Favorable</v>
      </c>
      <c r="I50" s="12"/>
      <c r="J50" s="66" t="s">
        <v>27</v>
      </c>
      <c r="K50" s="67" t="s">
        <v>27</v>
      </c>
      <c r="L50" s="67" t="s">
        <v>27</v>
      </c>
      <c r="M50" s="67" t="s">
        <v>27</v>
      </c>
      <c r="N50" s="67" t="s">
        <v>27</v>
      </c>
      <c r="O50" s="67" t="s">
        <v>27</v>
      </c>
      <c r="P50" s="67" t="s">
        <v>27</v>
      </c>
      <c r="Q50" s="68" t="s">
        <v>27</v>
      </c>
    </row>
    <row r="51" spans="2:17" x14ac:dyDescent="0.15">
      <c r="B51" s="18" t="str">
        <f>'_Chart Helpers'!$A$8</f>
        <v>Bounce Rate</v>
      </c>
      <c r="C51" s="19" t="str">
        <f>'_Chart Helpers'!$E$8</f>
        <v>Lower</v>
      </c>
      <c r="D51" s="21">
        <f>'_Chart Helpers'!$B$8</f>
        <v>0.34</v>
      </c>
      <c r="E51" s="21">
        <f>'_Chart Helpers'!$C$8</f>
        <v>0.36</v>
      </c>
      <c r="F51" s="21">
        <f t="shared" si="0"/>
        <v>-1.9999999999999962E-2</v>
      </c>
      <c r="G51" s="21">
        <f t="shared" si="1"/>
        <v>-5.5555555555555469E-2</v>
      </c>
      <c r="H51" s="19" t="str">
        <f>'_Chart Helpers'!$F$8</f>
        <v>Favorable</v>
      </c>
      <c r="I51" s="12"/>
      <c r="J51" s="69" t="s">
        <v>27</v>
      </c>
      <c r="K51" s="70" t="s">
        <v>27</v>
      </c>
      <c r="L51" s="70" t="s">
        <v>27</v>
      </c>
      <c r="M51" s="70" t="s">
        <v>27</v>
      </c>
      <c r="N51" s="70" t="s">
        <v>27</v>
      </c>
      <c r="O51" s="70" t="s">
        <v>27</v>
      </c>
      <c r="P51" s="70" t="s">
        <v>27</v>
      </c>
      <c r="Q51" s="71" t="s">
        <v>27</v>
      </c>
    </row>
    <row r="52" spans="2:17" x14ac:dyDescent="0.15">
      <c r="B52" s="18" t="str">
        <f>'_Chart Helpers'!$A$9</f>
        <v>MRR / Active User</v>
      </c>
      <c r="C52" s="19" t="str">
        <f>'_Chart Helpers'!$E$9</f>
        <v>Higher</v>
      </c>
      <c r="D52" s="24">
        <f>'_Chart Helpers'!$B$9</f>
        <v>12.815873015873017</v>
      </c>
      <c r="E52" s="24">
        <f>'_Chart Helpers'!$C$9</f>
        <v>13.333333333333334</v>
      </c>
      <c r="F52" s="24">
        <f t="shared" si="0"/>
        <v>-0.5174603174603174</v>
      </c>
      <c r="G52" s="21">
        <f t="shared" si="1"/>
        <v>-3.8809523809523849E-2</v>
      </c>
      <c r="H52" s="19" t="str">
        <f>'_Chart Helpers'!$F$9</f>
        <v>Watch</v>
      </c>
      <c r="I52" s="12"/>
      <c r="J52" s="72" t="s">
        <v>27</v>
      </c>
      <c r="K52" s="73" t="s">
        <v>27</v>
      </c>
      <c r="L52" s="73" t="s">
        <v>27</v>
      </c>
      <c r="M52" s="73" t="s">
        <v>27</v>
      </c>
      <c r="N52" s="73" t="s">
        <v>27</v>
      </c>
      <c r="O52" s="73" t="s">
        <v>27</v>
      </c>
      <c r="P52" s="73" t="s">
        <v>27</v>
      </c>
      <c r="Q52" s="74" t="s">
        <v>27</v>
      </c>
    </row>
    <row r="53" spans="2:17" x14ac:dyDescent="0.1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</sheetData>
  <mergeCells count="28">
    <mergeCell ref="J11:M12"/>
    <mergeCell ref="N5:Q5"/>
    <mergeCell ref="N6:Q7"/>
    <mergeCell ref="B43:Q43"/>
    <mergeCell ref="J45:Q48"/>
    <mergeCell ref="J50:Q52"/>
    <mergeCell ref="N10:Q10"/>
    <mergeCell ref="N11:Q12"/>
    <mergeCell ref="B15:I15"/>
    <mergeCell ref="J15:Q15"/>
    <mergeCell ref="B29:I29"/>
    <mergeCell ref="J29:Q29"/>
    <mergeCell ref="B10:E10"/>
    <mergeCell ref="B11:E12"/>
    <mergeCell ref="F10:I10"/>
    <mergeCell ref="F11:I12"/>
    <mergeCell ref="J10:M10"/>
    <mergeCell ref="B5:E5"/>
    <mergeCell ref="B6:E7"/>
    <mergeCell ref="F5:I5"/>
    <mergeCell ref="F6:I7"/>
    <mergeCell ref="J5:M5"/>
    <mergeCell ref="J6:M7"/>
    <mergeCell ref="J2:M2"/>
    <mergeCell ref="J3:M3"/>
    <mergeCell ref="N2:Q2"/>
    <mergeCell ref="N3:Q3"/>
    <mergeCell ref="B4:Q4"/>
  </mergeCells>
  <conditionalFormatting sqref="H45:H52">
    <cfRule type="containsText" dxfId="2" priority="1" operator="containsText" text="Favorable"/>
    <cfRule type="containsText" dxfId="1" priority="2" operator="containsText" text="Watch"/>
    <cfRule type="containsText" dxfId="0" priority="3" operator="containsText" text="Unfavorable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35"/>
  <sheetViews>
    <sheetView showGridLines="0" workbookViewId="0">
      <selection activeCell="B3" sqref="B3"/>
    </sheetView>
  </sheetViews>
  <sheetFormatPr baseColWidth="10" defaultColWidth="8.83203125" defaultRowHeight="14" x14ac:dyDescent="0.15"/>
  <cols>
    <col min="1" max="1" width="3.33203125" style="27" customWidth="1"/>
    <col min="2" max="4" width="15" style="27" customWidth="1"/>
    <col min="5" max="5" width="17" style="27" customWidth="1"/>
    <col min="6" max="6" width="18" style="27" customWidth="1"/>
    <col min="7" max="8" width="15" style="27" customWidth="1"/>
    <col min="9" max="9" width="14" style="27" customWidth="1"/>
    <col min="10" max="10" width="16" style="27" customWidth="1"/>
    <col min="11" max="11" width="15" style="27" customWidth="1"/>
    <col min="12" max="15" width="16" style="27" customWidth="1"/>
    <col min="16" max="16" width="15" style="27" customWidth="1"/>
    <col min="17" max="16384" width="8.83203125" style="27"/>
  </cols>
  <sheetData>
    <row r="2" spans="2:16" ht="26" customHeight="1" x14ac:dyDescent="0.1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2:16" ht="26" customHeight="1" x14ac:dyDescent="0.15">
      <c r="B3" s="38" t="s">
        <v>28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2:16" x14ac:dyDescent="0.15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2:16" ht="22" customHeight="1" x14ac:dyDescent="0.15">
      <c r="B5" s="87" t="s">
        <v>29</v>
      </c>
      <c r="C5" s="87" t="s">
        <v>29</v>
      </c>
      <c r="D5" s="87" t="s">
        <v>29</v>
      </c>
      <c r="E5" s="87" t="s">
        <v>29</v>
      </c>
      <c r="F5" s="87" t="s">
        <v>29</v>
      </c>
      <c r="G5" s="87" t="s">
        <v>29</v>
      </c>
      <c r="H5" s="87" t="s">
        <v>29</v>
      </c>
      <c r="I5" s="87" t="s">
        <v>29</v>
      </c>
      <c r="J5" s="87" t="s">
        <v>29</v>
      </c>
      <c r="K5" s="87" t="s">
        <v>29</v>
      </c>
      <c r="L5" s="87" t="s">
        <v>29</v>
      </c>
      <c r="M5" s="87" t="s">
        <v>29</v>
      </c>
      <c r="N5" s="87" t="s">
        <v>29</v>
      </c>
      <c r="O5" s="87" t="s">
        <v>29</v>
      </c>
      <c r="P5" s="87" t="s">
        <v>29</v>
      </c>
    </row>
    <row r="6" spans="2:16" ht="22" customHeight="1" x14ac:dyDescent="0.15">
      <c r="B6" s="88" t="s">
        <v>30</v>
      </c>
      <c r="C6" s="88" t="s">
        <v>30</v>
      </c>
      <c r="D6" s="88" t="s">
        <v>30</v>
      </c>
      <c r="E6" s="88" t="s">
        <v>30</v>
      </c>
      <c r="F6" s="88" t="s">
        <v>30</v>
      </c>
      <c r="G6" s="88" t="s">
        <v>30</v>
      </c>
      <c r="H6" s="88" t="s">
        <v>30</v>
      </c>
      <c r="I6" s="88" t="s">
        <v>30</v>
      </c>
      <c r="J6" s="88" t="s">
        <v>30</v>
      </c>
      <c r="K6" s="88" t="s">
        <v>30</v>
      </c>
      <c r="L6" s="88" t="s">
        <v>30</v>
      </c>
      <c r="M6" s="88" t="s">
        <v>30</v>
      </c>
      <c r="N6" s="88" t="s">
        <v>30</v>
      </c>
      <c r="O6" s="88" t="s">
        <v>30</v>
      </c>
      <c r="P6" s="88" t="s">
        <v>30</v>
      </c>
    </row>
    <row r="7" spans="2:16" ht="22" customHeight="1" x14ac:dyDescent="0.15">
      <c r="B7" s="88" t="s">
        <v>31</v>
      </c>
      <c r="C7" s="88" t="s">
        <v>31</v>
      </c>
      <c r="D7" s="88" t="s">
        <v>31</v>
      </c>
      <c r="E7" s="88" t="s">
        <v>31</v>
      </c>
      <c r="F7" s="88" t="s">
        <v>31</v>
      </c>
      <c r="G7" s="88" t="s">
        <v>31</v>
      </c>
      <c r="H7" s="88" t="s">
        <v>31</v>
      </c>
      <c r="I7" s="88" t="s">
        <v>31</v>
      </c>
      <c r="J7" s="88" t="s">
        <v>31</v>
      </c>
      <c r="K7" s="88" t="s">
        <v>31</v>
      </c>
      <c r="L7" s="88" t="s">
        <v>31</v>
      </c>
      <c r="M7" s="88" t="s">
        <v>31</v>
      </c>
      <c r="N7" s="88" t="s">
        <v>31</v>
      </c>
      <c r="O7" s="88" t="s">
        <v>31</v>
      </c>
      <c r="P7" s="88" t="s">
        <v>31</v>
      </c>
    </row>
    <row r="8" spans="2:16" x14ac:dyDescent="0.15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2:16" x14ac:dyDescent="0.15">
      <c r="B9" s="1" t="s">
        <v>32</v>
      </c>
      <c r="C9" s="29">
        <v>45992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2:16" ht="26" x14ac:dyDescent="0.15">
      <c r="B10" s="1" t="s">
        <v>33</v>
      </c>
      <c r="C10" s="25">
        <f>MAX($B$16:$B$27)</f>
        <v>45992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2:16" x14ac:dyDescent="0.15">
      <c r="B11" s="1" t="s">
        <v>34</v>
      </c>
      <c r="C11" s="84" t="s">
        <v>35</v>
      </c>
      <c r="D11" s="84" t="s">
        <v>35</v>
      </c>
      <c r="E11" s="84" t="s">
        <v>35</v>
      </c>
      <c r="F11" s="84" t="s">
        <v>35</v>
      </c>
      <c r="G11" s="84" t="s">
        <v>35</v>
      </c>
      <c r="H11" s="84" t="s">
        <v>35</v>
      </c>
      <c r="I11" s="84" t="s">
        <v>35</v>
      </c>
      <c r="J11" s="84" t="s">
        <v>35</v>
      </c>
      <c r="K11" s="84" t="s">
        <v>35</v>
      </c>
      <c r="L11" s="84" t="s">
        <v>35</v>
      </c>
      <c r="M11" s="84" t="s">
        <v>35</v>
      </c>
      <c r="N11" s="84" t="s">
        <v>35</v>
      </c>
      <c r="O11" s="84" t="s">
        <v>35</v>
      </c>
      <c r="P11" s="84" t="s">
        <v>35</v>
      </c>
    </row>
    <row r="12" spans="2:16" x14ac:dyDescent="0.1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2:16" ht="22" customHeight="1" x14ac:dyDescent="0.15">
      <c r="B13" s="85" t="s">
        <v>36</v>
      </c>
      <c r="C13" s="85" t="s">
        <v>36</v>
      </c>
      <c r="D13" s="85" t="s">
        <v>36</v>
      </c>
      <c r="E13" s="85" t="s">
        <v>36</v>
      </c>
      <c r="F13" s="85" t="s">
        <v>36</v>
      </c>
      <c r="G13" s="85" t="s">
        <v>36</v>
      </c>
      <c r="H13" s="85" t="s">
        <v>36</v>
      </c>
      <c r="I13" s="85" t="s">
        <v>36</v>
      </c>
      <c r="J13" s="85" t="s">
        <v>36</v>
      </c>
      <c r="K13" s="85" t="s">
        <v>36</v>
      </c>
      <c r="L13" s="85" t="s">
        <v>36</v>
      </c>
      <c r="M13" s="85" t="s">
        <v>36</v>
      </c>
      <c r="N13" s="85" t="s">
        <v>36</v>
      </c>
      <c r="O13" s="85" t="s">
        <v>36</v>
      </c>
      <c r="P13" s="85" t="s">
        <v>36</v>
      </c>
    </row>
    <row r="14" spans="2:16" x14ac:dyDescent="0.15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2:16" ht="34" customHeight="1" x14ac:dyDescent="0.15">
      <c r="B15" s="2" t="s">
        <v>37</v>
      </c>
      <c r="C15" s="2" t="s">
        <v>38</v>
      </c>
      <c r="D15" s="2" t="s">
        <v>39</v>
      </c>
      <c r="E15" s="2" t="s">
        <v>40</v>
      </c>
      <c r="F15" s="2" t="s">
        <v>41</v>
      </c>
      <c r="G15" s="2" t="s">
        <v>42</v>
      </c>
      <c r="H15" s="2" t="s">
        <v>43</v>
      </c>
      <c r="I15" s="2" t="s">
        <v>44</v>
      </c>
      <c r="J15" s="2" t="s">
        <v>45</v>
      </c>
      <c r="K15" s="2" t="s">
        <v>46</v>
      </c>
      <c r="L15" s="2" t="s">
        <v>47</v>
      </c>
      <c r="M15" s="2" t="s">
        <v>48</v>
      </c>
      <c r="N15" s="2" t="s">
        <v>49</v>
      </c>
      <c r="O15" s="2" t="s">
        <v>50</v>
      </c>
      <c r="P15" s="2" t="s">
        <v>51</v>
      </c>
    </row>
    <row r="16" spans="2:16" x14ac:dyDescent="0.15">
      <c r="B16" s="30">
        <v>45658</v>
      </c>
      <c r="C16" s="31">
        <v>14800</v>
      </c>
      <c r="D16" s="31">
        <v>2320</v>
      </c>
      <c r="E16" s="32">
        <v>0.72399999999999998</v>
      </c>
      <c r="F16" s="32">
        <v>3.6999999999999998E-2</v>
      </c>
      <c r="G16" s="33">
        <v>4.5</v>
      </c>
      <c r="H16" s="34">
        <v>184000</v>
      </c>
      <c r="I16" s="32">
        <v>0.48</v>
      </c>
      <c r="J16" s="31">
        <v>15000</v>
      </c>
      <c r="K16" s="31">
        <v>2250</v>
      </c>
      <c r="L16" s="32">
        <v>0.73</v>
      </c>
      <c r="M16" s="32">
        <v>3.7999999999999999E-2</v>
      </c>
      <c r="N16" s="33">
        <v>4.5999999999999996</v>
      </c>
      <c r="O16" s="34">
        <v>185000</v>
      </c>
      <c r="P16" s="32">
        <v>0.47</v>
      </c>
    </row>
    <row r="17" spans="2:16" x14ac:dyDescent="0.15">
      <c r="B17" s="30">
        <v>45689</v>
      </c>
      <c r="C17" s="31">
        <v>15650</v>
      </c>
      <c r="D17" s="31">
        <v>2410</v>
      </c>
      <c r="E17" s="32">
        <v>0.73099999999999998</v>
      </c>
      <c r="F17" s="32">
        <v>3.7999999999999999E-2</v>
      </c>
      <c r="G17" s="33">
        <v>4.5999999999999996</v>
      </c>
      <c r="H17" s="34">
        <v>192500</v>
      </c>
      <c r="I17" s="32">
        <v>0.46500000000000002</v>
      </c>
      <c r="J17" s="31">
        <v>16000</v>
      </c>
      <c r="K17" s="31">
        <v>2350</v>
      </c>
      <c r="L17" s="32">
        <v>0.74</v>
      </c>
      <c r="M17" s="32">
        <v>3.9E-2</v>
      </c>
      <c r="N17" s="33">
        <v>4.7</v>
      </c>
      <c r="O17" s="34">
        <v>195000</v>
      </c>
      <c r="P17" s="32">
        <v>0.46</v>
      </c>
    </row>
    <row r="18" spans="2:16" x14ac:dyDescent="0.15">
      <c r="B18" s="30">
        <v>45717</v>
      </c>
      <c r="C18" s="31">
        <v>16900</v>
      </c>
      <c r="D18" s="31">
        <v>2760</v>
      </c>
      <c r="E18" s="32">
        <v>0.74</v>
      </c>
      <c r="F18" s="32">
        <v>0.04</v>
      </c>
      <c r="G18" s="33">
        <v>4.8</v>
      </c>
      <c r="H18" s="34">
        <v>207800</v>
      </c>
      <c r="I18" s="32">
        <v>0.45</v>
      </c>
      <c r="J18" s="31">
        <v>17000</v>
      </c>
      <c r="K18" s="31">
        <v>2600</v>
      </c>
      <c r="L18" s="32">
        <v>0.75</v>
      </c>
      <c r="M18" s="32">
        <v>0.04</v>
      </c>
      <c r="N18" s="33">
        <v>4.8</v>
      </c>
      <c r="O18" s="34">
        <v>205000</v>
      </c>
      <c r="P18" s="32">
        <v>0.45</v>
      </c>
    </row>
    <row r="19" spans="2:16" x14ac:dyDescent="0.15">
      <c r="B19" s="30">
        <v>45748</v>
      </c>
      <c r="C19" s="31">
        <v>18250</v>
      </c>
      <c r="D19" s="31">
        <v>2980</v>
      </c>
      <c r="E19" s="32">
        <v>0.748</v>
      </c>
      <c r="F19" s="32">
        <v>4.1000000000000002E-2</v>
      </c>
      <c r="G19" s="33">
        <v>5</v>
      </c>
      <c r="H19" s="34">
        <v>224400</v>
      </c>
      <c r="I19" s="32">
        <v>0.44</v>
      </c>
      <c r="J19" s="31">
        <v>18500</v>
      </c>
      <c r="K19" s="31">
        <v>2900</v>
      </c>
      <c r="L19" s="32">
        <v>0.75</v>
      </c>
      <c r="M19" s="32">
        <v>4.2000000000000003E-2</v>
      </c>
      <c r="N19" s="33">
        <v>5</v>
      </c>
      <c r="O19" s="34">
        <v>230000</v>
      </c>
      <c r="P19" s="32">
        <v>0.44</v>
      </c>
    </row>
    <row r="20" spans="2:16" x14ac:dyDescent="0.15">
      <c r="B20" s="30">
        <v>45778</v>
      </c>
      <c r="C20" s="31">
        <v>19700</v>
      </c>
      <c r="D20" s="31">
        <v>3120</v>
      </c>
      <c r="E20" s="32">
        <v>0.75600000000000001</v>
      </c>
      <c r="F20" s="32">
        <v>4.2999999999999997E-2</v>
      </c>
      <c r="G20" s="33">
        <v>5.0999999999999996</v>
      </c>
      <c r="H20" s="34">
        <v>241600</v>
      </c>
      <c r="I20" s="32">
        <v>0.42499999999999999</v>
      </c>
      <c r="J20" s="31">
        <v>20000</v>
      </c>
      <c r="K20" s="31">
        <v>3050</v>
      </c>
      <c r="L20" s="32">
        <v>0.76</v>
      </c>
      <c r="M20" s="32">
        <v>4.2999999999999997E-2</v>
      </c>
      <c r="N20" s="33">
        <v>5.0999999999999996</v>
      </c>
      <c r="O20" s="34">
        <v>245000</v>
      </c>
      <c r="P20" s="32">
        <v>0.43</v>
      </c>
    </row>
    <row r="21" spans="2:16" x14ac:dyDescent="0.15">
      <c r="B21" s="30">
        <v>45809</v>
      </c>
      <c r="C21" s="31">
        <v>21050</v>
      </c>
      <c r="D21" s="31">
        <v>3280</v>
      </c>
      <c r="E21" s="32">
        <v>0.76200000000000001</v>
      </c>
      <c r="F21" s="32">
        <v>4.3999999999999997E-2</v>
      </c>
      <c r="G21" s="33">
        <v>5.2</v>
      </c>
      <c r="H21" s="34">
        <v>258900</v>
      </c>
      <c r="I21" s="32">
        <v>0.41</v>
      </c>
      <c r="J21" s="31">
        <v>21500</v>
      </c>
      <c r="K21" s="31">
        <v>3250</v>
      </c>
      <c r="L21" s="32">
        <v>0.77</v>
      </c>
      <c r="M21" s="32">
        <v>4.4999999999999998E-2</v>
      </c>
      <c r="N21" s="33">
        <v>5.3</v>
      </c>
      <c r="O21" s="34">
        <v>262000</v>
      </c>
      <c r="P21" s="32">
        <v>0.42</v>
      </c>
    </row>
    <row r="22" spans="2:16" x14ac:dyDescent="0.15">
      <c r="B22" s="30">
        <v>45839</v>
      </c>
      <c r="C22" s="31">
        <v>22800</v>
      </c>
      <c r="D22" s="31">
        <v>3520</v>
      </c>
      <c r="E22" s="32">
        <v>0.77400000000000002</v>
      </c>
      <c r="F22" s="32">
        <v>4.5999999999999999E-2</v>
      </c>
      <c r="G22" s="33">
        <v>5.4</v>
      </c>
      <c r="H22" s="34">
        <v>281300</v>
      </c>
      <c r="I22" s="32">
        <v>0.39500000000000002</v>
      </c>
      <c r="J22" s="31">
        <v>23000</v>
      </c>
      <c r="K22" s="31">
        <v>3450</v>
      </c>
      <c r="L22" s="32">
        <v>0.78</v>
      </c>
      <c r="M22" s="32">
        <v>4.5999999999999999E-2</v>
      </c>
      <c r="N22" s="33">
        <v>5.4</v>
      </c>
      <c r="O22" s="34">
        <v>285000</v>
      </c>
      <c r="P22" s="32">
        <v>0.41</v>
      </c>
    </row>
    <row r="23" spans="2:16" x14ac:dyDescent="0.15">
      <c r="B23" s="30">
        <v>45870</v>
      </c>
      <c r="C23" s="31">
        <v>24400</v>
      </c>
      <c r="D23" s="31">
        <v>3680</v>
      </c>
      <c r="E23" s="32">
        <v>0.78100000000000003</v>
      </c>
      <c r="F23" s="32">
        <v>4.7E-2</v>
      </c>
      <c r="G23" s="33">
        <v>5.5</v>
      </c>
      <c r="H23" s="34">
        <v>303200</v>
      </c>
      <c r="I23" s="32">
        <v>0.38</v>
      </c>
      <c r="J23" s="31">
        <v>24500</v>
      </c>
      <c r="K23" s="31">
        <v>3650</v>
      </c>
      <c r="L23" s="32">
        <v>0.78</v>
      </c>
      <c r="M23" s="32">
        <v>4.8000000000000001E-2</v>
      </c>
      <c r="N23" s="33">
        <v>5.6</v>
      </c>
      <c r="O23" s="34">
        <v>300000</v>
      </c>
      <c r="P23" s="32">
        <v>0.4</v>
      </c>
    </row>
    <row r="24" spans="2:16" x14ac:dyDescent="0.15">
      <c r="B24" s="30">
        <v>45901</v>
      </c>
      <c r="C24" s="31">
        <v>26150</v>
      </c>
      <c r="D24" s="31">
        <v>3860</v>
      </c>
      <c r="E24" s="32">
        <v>0.78900000000000003</v>
      </c>
      <c r="F24" s="32">
        <v>4.9000000000000002E-2</v>
      </c>
      <c r="G24" s="33">
        <v>5.7</v>
      </c>
      <c r="H24" s="34">
        <v>328500</v>
      </c>
      <c r="I24" s="32">
        <v>0.37</v>
      </c>
      <c r="J24" s="31">
        <v>26000</v>
      </c>
      <c r="K24" s="31">
        <v>3850</v>
      </c>
      <c r="L24" s="32">
        <v>0.79</v>
      </c>
      <c r="M24" s="32">
        <v>4.9000000000000002E-2</v>
      </c>
      <c r="N24" s="33">
        <v>5.7</v>
      </c>
      <c r="O24" s="34">
        <v>330000</v>
      </c>
      <c r="P24" s="32">
        <v>0.39</v>
      </c>
    </row>
    <row r="25" spans="2:16" x14ac:dyDescent="0.15">
      <c r="B25" s="30">
        <v>45931</v>
      </c>
      <c r="C25" s="31">
        <v>27900</v>
      </c>
      <c r="D25" s="31">
        <v>4050</v>
      </c>
      <c r="E25" s="32">
        <v>0.79600000000000004</v>
      </c>
      <c r="F25" s="32">
        <v>5.0999999999999997E-2</v>
      </c>
      <c r="G25" s="33">
        <v>5.8</v>
      </c>
      <c r="H25" s="34">
        <v>351800</v>
      </c>
      <c r="I25" s="32">
        <v>0.36</v>
      </c>
      <c r="J25" s="31">
        <v>28000</v>
      </c>
      <c r="K25" s="31">
        <v>4050</v>
      </c>
      <c r="L25" s="32">
        <v>0.8</v>
      </c>
      <c r="M25" s="32">
        <v>5.0999999999999997E-2</v>
      </c>
      <c r="N25" s="33">
        <v>5.9</v>
      </c>
      <c r="O25" s="34">
        <v>355000</v>
      </c>
      <c r="P25" s="32">
        <v>0.38</v>
      </c>
    </row>
    <row r="26" spans="2:16" x14ac:dyDescent="0.15">
      <c r="B26" s="30">
        <v>45962</v>
      </c>
      <c r="C26" s="31">
        <v>29650</v>
      </c>
      <c r="D26" s="31">
        <v>4240</v>
      </c>
      <c r="E26" s="32">
        <v>0.80300000000000005</v>
      </c>
      <c r="F26" s="32">
        <v>5.1999999999999998E-2</v>
      </c>
      <c r="G26" s="33">
        <v>6</v>
      </c>
      <c r="H26" s="34">
        <v>376400</v>
      </c>
      <c r="I26" s="32">
        <v>0.35</v>
      </c>
      <c r="J26" s="31">
        <v>29500</v>
      </c>
      <c r="K26" s="31">
        <v>4250</v>
      </c>
      <c r="L26" s="32">
        <v>0.8</v>
      </c>
      <c r="M26" s="32">
        <v>5.1999999999999998E-2</v>
      </c>
      <c r="N26" s="33">
        <v>6</v>
      </c>
      <c r="O26" s="34">
        <v>380000</v>
      </c>
      <c r="P26" s="32">
        <v>0.37</v>
      </c>
    </row>
    <row r="27" spans="2:16" x14ac:dyDescent="0.15">
      <c r="B27" s="30">
        <v>45992</v>
      </c>
      <c r="C27" s="31">
        <v>31500</v>
      </c>
      <c r="D27" s="31">
        <v>4480</v>
      </c>
      <c r="E27" s="32">
        <v>0.81100000000000005</v>
      </c>
      <c r="F27" s="32">
        <v>5.3999999999999999E-2</v>
      </c>
      <c r="G27" s="33">
        <v>6.2</v>
      </c>
      <c r="H27" s="34">
        <v>403700</v>
      </c>
      <c r="I27" s="32">
        <v>0.34</v>
      </c>
      <c r="J27" s="31">
        <v>30000</v>
      </c>
      <c r="K27" s="31">
        <v>4400</v>
      </c>
      <c r="L27" s="32">
        <v>0.8</v>
      </c>
      <c r="M27" s="32">
        <v>0.05</v>
      </c>
      <c r="N27" s="33">
        <v>6</v>
      </c>
      <c r="O27" s="34">
        <v>400000</v>
      </c>
      <c r="P27" s="32">
        <v>0.36</v>
      </c>
    </row>
    <row r="28" spans="2:16" x14ac:dyDescent="0.15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2:16" ht="22" customHeight="1" x14ac:dyDescent="0.15">
      <c r="B29" s="86" t="s">
        <v>52</v>
      </c>
      <c r="C29" s="86" t="s">
        <v>52</v>
      </c>
      <c r="D29" s="86" t="s">
        <v>52</v>
      </c>
      <c r="E29" s="86" t="s">
        <v>52</v>
      </c>
      <c r="F29" s="28"/>
      <c r="G29" s="86" t="s">
        <v>53</v>
      </c>
      <c r="H29" s="86" t="s">
        <v>53</v>
      </c>
      <c r="I29" s="86" t="s">
        <v>53</v>
      </c>
      <c r="J29" s="86" t="s">
        <v>53</v>
      </c>
      <c r="K29" s="28"/>
      <c r="L29" s="28"/>
      <c r="M29" s="28"/>
      <c r="N29" s="28"/>
      <c r="O29" s="28"/>
      <c r="P29" s="28"/>
    </row>
    <row r="30" spans="2:16" x14ac:dyDescent="0.15">
      <c r="B30" s="3" t="s">
        <v>54</v>
      </c>
      <c r="C30" s="3" t="s">
        <v>55</v>
      </c>
      <c r="D30" s="28"/>
      <c r="E30" s="28"/>
      <c r="F30" s="28"/>
      <c r="G30" s="3" t="s">
        <v>56</v>
      </c>
      <c r="H30" s="3" t="s">
        <v>57</v>
      </c>
      <c r="I30" s="28"/>
      <c r="J30" s="28"/>
      <c r="K30" s="28"/>
      <c r="L30" s="28"/>
      <c r="M30" s="28"/>
      <c r="N30" s="28"/>
      <c r="O30" s="28"/>
      <c r="P30" s="28"/>
    </row>
    <row r="31" spans="2:16" x14ac:dyDescent="0.15">
      <c r="B31" s="4" t="s">
        <v>58</v>
      </c>
      <c r="C31" s="35">
        <v>5.8</v>
      </c>
      <c r="D31" s="28"/>
      <c r="E31" s="28"/>
      <c r="F31" s="28"/>
      <c r="G31" s="4" t="s">
        <v>59</v>
      </c>
      <c r="H31" s="32">
        <v>0.45</v>
      </c>
      <c r="I31" s="28"/>
      <c r="J31" s="28"/>
      <c r="K31" s="28"/>
      <c r="L31" s="28"/>
      <c r="M31" s="28"/>
      <c r="N31" s="28"/>
      <c r="O31" s="28"/>
      <c r="P31" s="28"/>
    </row>
    <row r="32" spans="2:16" x14ac:dyDescent="0.15">
      <c r="B32" s="4" t="s">
        <v>60</v>
      </c>
      <c r="C32" s="32">
        <v>0.125</v>
      </c>
      <c r="D32" s="28"/>
      <c r="E32" s="28"/>
      <c r="F32" s="28"/>
      <c r="G32" s="4" t="s">
        <v>61</v>
      </c>
      <c r="H32" s="32">
        <v>0.3</v>
      </c>
      <c r="I32" s="28"/>
      <c r="J32" s="28"/>
      <c r="K32" s="28"/>
      <c r="L32" s="28"/>
      <c r="M32" s="28"/>
      <c r="N32" s="28"/>
      <c r="O32" s="28"/>
      <c r="P32" s="28"/>
    </row>
    <row r="33" spans="2:16" x14ac:dyDescent="0.15">
      <c r="B33" s="4" t="s">
        <v>62</v>
      </c>
      <c r="C33" s="32">
        <v>0.70599999999999996</v>
      </c>
      <c r="D33" s="28"/>
      <c r="E33" s="28"/>
      <c r="F33" s="28"/>
      <c r="G33" s="4" t="s">
        <v>63</v>
      </c>
      <c r="H33" s="32">
        <v>0.15</v>
      </c>
      <c r="I33" s="28"/>
      <c r="J33" s="28"/>
      <c r="K33" s="28"/>
      <c r="L33" s="28"/>
      <c r="M33" s="28"/>
      <c r="N33" s="28"/>
      <c r="O33" s="28"/>
      <c r="P33" s="28"/>
    </row>
    <row r="34" spans="2:16" x14ac:dyDescent="0.15">
      <c r="B34" s="4" t="s">
        <v>64</v>
      </c>
      <c r="C34" s="32">
        <v>0.57499999999999996</v>
      </c>
      <c r="D34" s="28"/>
      <c r="E34" s="28"/>
      <c r="F34" s="28"/>
      <c r="G34" s="4" t="s">
        <v>65</v>
      </c>
      <c r="H34" s="32">
        <v>0.1</v>
      </c>
      <c r="I34" s="28"/>
      <c r="J34" s="28"/>
      <c r="K34" s="28"/>
      <c r="L34" s="28"/>
      <c r="M34" s="28"/>
      <c r="N34" s="28"/>
      <c r="O34" s="28"/>
      <c r="P34" s="28"/>
    </row>
    <row r="35" spans="2:16" x14ac:dyDescent="0.15">
      <c r="B35" s="4" t="s">
        <v>66</v>
      </c>
      <c r="C35" s="32">
        <v>9.4E-2</v>
      </c>
      <c r="D35" s="28"/>
      <c r="E35" s="28"/>
      <c r="F35" s="28"/>
      <c r="G35" s="5" t="s">
        <v>67</v>
      </c>
      <c r="H35" s="26" t="str">
        <f>IF(ABS(SUM($H$31:$H$34)-1)&lt;0.0001,"PASS","CHECK")</f>
        <v>PASS</v>
      </c>
      <c r="I35" s="28"/>
      <c r="J35" s="28"/>
      <c r="K35" s="28"/>
      <c r="L35" s="28"/>
      <c r="M35" s="28"/>
      <c r="N35" s="28"/>
      <c r="O35" s="28"/>
      <c r="P35" s="28"/>
    </row>
  </sheetData>
  <mergeCells count="7">
    <mergeCell ref="C11:P11"/>
    <mergeCell ref="B13:P13"/>
    <mergeCell ref="B29:E29"/>
    <mergeCell ref="G29:J29"/>
    <mergeCell ref="B5:P5"/>
    <mergeCell ref="B6:P6"/>
    <mergeCell ref="B7:P7"/>
  </mergeCells>
  <dataValidations count="1">
    <dataValidation type="list" sqref="C9" xr:uid="{00000000-0002-0000-0100-000000000000}">
      <formula1>$B$16:$B$27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3"/>
  <sheetViews>
    <sheetView showGridLines="0" workbookViewId="0"/>
  </sheetViews>
  <sheetFormatPr baseColWidth="10" defaultColWidth="8.83203125" defaultRowHeight="14" x14ac:dyDescent="0.15"/>
  <cols>
    <col min="1" max="1" width="27" customWidth="1"/>
    <col min="2" max="4" width="14" customWidth="1"/>
    <col min="5" max="5" width="12" customWidth="1"/>
    <col min="6" max="6" width="14" customWidth="1"/>
    <col min="7" max="7" width="3" customWidth="1"/>
    <col min="8" max="8" width="14" customWidth="1"/>
    <col min="9" max="9" width="15" customWidth="1"/>
    <col min="10" max="10" width="14" customWidth="1"/>
    <col min="11" max="11" width="3" customWidth="1"/>
    <col min="12" max="12" width="14" customWidth="1"/>
    <col min="13" max="13" width="15" customWidth="1"/>
    <col min="14" max="14" width="14" customWidth="1"/>
    <col min="15" max="15" width="3" customWidth="1"/>
    <col min="16" max="16" width="24" customWidth="1"/>
    <col min="17" max="17" width="15" customWidth="1"/>
    <col min="18" max="18" width="3" customWidth="1"/>
    <col min="19" max="19" width="16" customWidth="1"/>
    <col min="20" max="20" width="15" customWidth="1"/>
  </cols>
  <sheetData>
    <row r="1" spans="1:20" x14ac:dyDescent="0.15">
      <c r="A1" s="3" t="str">
        <f>"Metric"</f>
        <v>Metric</v>
      </c>
      <c r="B1" s="3" t="str">
        <f>"Actual"</f>
        <v>Actual</v>
      </c>
      <c r="C1" s="3" t="str">
        <f>"Target"</f>
        <v>Target</v>
      </c>
      <c r="D1" s="3" t="str">
        <f>"Prior"</f>
        <v>Prior</v>
      </c>
      <c r="E1" s="3" t="str">
        <f>"Direction"</f>
        <v>Direction</v>
      </c>
      <c r="F1" s="3" t="str">
        <f>"Status"</f>
        <v>Status</v>
      </c>
      <c r="G1" s="4"/>
      <c r="H1" s="3" t="str">
        <f>"Period"</f>
        <v>Period</v>
      </c>
      <c r="I1" s="3" t="str">
        <f>"Active Users"</f>
        <v>Active Users</v>
      </c>
      <c r="J1" s="3" t="str">
        <f>"Target"</f>
        <v>Target</v>
      </c>
      <c r="K1" s="4"/>
      <c r="L1" s="3" t="str">
        <f>"Period"</f>
        <v>Period</v>
      </c>
      <c r="M1" s="3" t="str">
        <f>"MRR"</f>
        <v>MRR</v>
      </c>
      <c r="N1" s="3" t="str">
        <f>"Target"</f>
        <v>Target</v>
      </c>
      <c r="O1" s="4"/>
      <c r="P1" s="3" t="str">
        <f>"Stage"</f>
        <v>Stage</v>
      </c>
      <c r="Q1" s="3" t="str">
        <f>"Users"</f>
        <v>Users</v>
      </c>
      <c r="R1" s="4"/>
      <c r="S1" s="3" t="str">
        <f>"Segment"</f>
        <v>Segment</v>
      </c>
      <c r="T1" s="3" t="str">
        <f>"MRR"</f>
        <v>MRR</v>
      </c>
    </row>
    <row r="2" spans="1:20" x14ac:dyDescent="0.15">
      <c r="A2" s="4" t="str">
        <f>"Active Users"</f>
        <v>Active Users</v>
      </c>
      <c r="B2" s="6">
        <f>INDEX('Data &amp; Targets'!$C$16:$C$27,MATCH('Data &amp; Targets'!$C$9,'Data &amp; Targets'!$B$16:$B$27,0))</f>
        <v>31500</v>
      </c>
      <c r="C2" s="6">
        <f>INDEX('Data &amp; Targets'!$J$16:$J$27,MATCH('Data &amp; Targets'!$C$9,'Data &amp; Targets'!$B$16:$B$27,0))</f>
        <v>30000</v>
      </c>
      <c r="D2" s="6">
        <f>IF(MATCH('Data &amp; Targets'!$C$9,'Data &amp; Targets'!$B$16:$B$27,0)&lt;=1,"",INDEX('Data &amp; Targets'!$C$16:$C$27,MATCH('Data &amp; Targets'!$C$9,'Data &amp; Targets'!$B$16:$B$27,0)-1))</f>
        <v>29650</v>
      </c>
      <c r="E2" s="4" t="str">
        <f t="shared" ref="E2:E7" si="0">"Higher"</f>
        <v>Higher</v>
      </c>
      <c r="F2" s="4" t="str">
        <f t="shared" ref="F2:F9" si="1">IF(E2="Higher",IF(B2&gt;=C2,"Favorable",IF(B2&gt;=C2*0.95,"Watch","Unfavorable")),IF(B2&lt;=C2,"Favorable",IF(B2&lt;=C2*1.05,"Watch","Unfavorable")))</f>
        <v>Favorable</v>
      </c>
      <c r="G2" s="4"/>
      <c r="H2" s="11" t="str">
        <f>TEXT('Data &amp; Targets'!B16,"mmm yyyy")</f>
        <v>Jan 2025</v>
      </c>
      <c r="I2" s="4">
        <f>'Data &amp; Targets'!C16</f>
        <v>14800</v>
      </c>
      <c r="J2" s="4">
        <f>'Data &amp; Targets'!J16</f>
        <v>15000</v>
      </c>
      <c r="K2" s="4"/>
      <c r="L2" s="11" t="str">
        <f>TEXT('Data &amp; Targets'!B16,"mmm yyyy")</f>
        <v>Jan 2025</v>
      </c>
      <c r="M2" s="4">
        <f>'Data &amp; Targets'!H16</f>
        <v>184000</v>
      </c>
      <c r="N2" s="4">
        <f>'Data &amp; Targets'!O16</f>
        <v>185000</v>
      </c>
      <c r="O2" s="4"/>
      <c r="P2" s="4" t="str">
        <f>"Paid Accounts"</f>
        <v>Paid Accounts</v>
      </c>
      <c r="Q2" s="6">
        <f>$B$2*'Data &amp; Targets'!$C$31*'Data &amp; Targets'!$C$32*'Data &amp; Targets'!$C$33*'Data &amp; Targets'!$C$34*'Data &amp; Targets'!$C$35</f>
        <v>871.46301374999985</v>
      </c>
      <c r="R2" s="4"/>
      <c r="S2" s="4" t="str">
        <f>'Data &amp; Targets'!G34</f>
        <v>Self-Svc</v>
      </c>
      <c r="T2" s="9">
        <f>$B$7*'Data &amp; Targets'!H34</f>
        <v>40370</v>
      </c>
    </row>
    <row r="3" spans="1:20" x14ac:dyDescent="0.15">
      <c r="A3" s="4" t="str">
        <f>"New Users"</f>
        <v>New Users</v>
      </c>
      <c r="B3" s="6">
        <f>INDEX('Data &amp; Targets'!$D$16:$D$27,MATCH('Data &amp; Targets'!$C$9,'Data &amp; Targets'!$B$16:$B$27,0))</f>
        <v>4480</v>
      </c>
      <c r="C3" s="6">
        <f>INDEX('Data &amp; Targets'!$K$16:$K$27,MATCH('Data &amp; Targets'!$C$9,'Data &amp; Targets'!$B$16:$B$27,0))</f>
        <v>4400</v>
      </c>
      <c r="D3" s="6">
        <f>IF(MATCH('Data &amp; Targets'!$C$9,'Data &amp; Targets'!$B$16:$B$27,0)&lt;=1,"",INDEX('Data &amp; Targets'!$D$16:$D$27,MATCH('Data &amp; Targets'!$C$9,'Data &amp; Targets'!$B$16:$B$27,0)-1))</f>
        <v>4240</v>
      </c>
      <c r="E3" s="4" t="str">
        <f t="shared" si="0"/>
        <v>Higher</v>
      </c>
      <c r="F3" s="4" t="str">
        <f t="shared" si="1"/>
        <v>Favorable</v>
      </c>
      <c r="G3" s="4"/>
      <c r="H3" s="11" t="str">
        <f>TEXT('Data &amp; Targets'!B17,"mmm yyyy")</f>
        <v>Feb 2025</v>
      </c>
      <c r="I3" s="4">
        <f>'Data &amp; Targets'!C17</f>
        <v>15650</v>
      </c>
      <c r="J3" s="4">
        <f>'Data &amp; Targets'!J17</f>
        <v>16000</v>
      </c>
      <c r="K3" s="4"/>
      <c r="L3" s="11" t="str">
        <f>TEXT('Data &amp; Targets'!B17,"mmm yyyy")</f>
        <v>Feb 2025</v>
      </c>
      <c r="M3" s="4">
        <f>'Data &amp; Targets'!H17</f>
        <v>192500</v>
      </c>
      <c r="N3" s="4">
        <f>'Data &amp; Targets'!O17</f>
        <v>195000</v>
      </c>
      <c r="O3" s="4"/>
      <c r="P3" s="4" t="str">
        <f>"Activated Users"</f>
        <v>Activated Users</v>
      </c>
      <c r="Q3" s="6">
        <f>$B$2*'Data &amp; Targets'!$C$31*'Data &amp; Targets'!$C$32*'Data &amp; Targets'!$C$33*'Data &amp; Targets'!$C$34</f>
        <v>9270.8831249999985</v>
      </c>
      <c r="R3" s="4"/>
      <c r="S3" s="4" t="str">
        <f>'Data &amp; Targets'!G33</f>
        <v>SMB</v>
      </c>
      <c r="T3" s="9">
        <f>$B$7*'Data &amp; Targets'!H33</f>
        <v>60555</v>
      </c>
    </row>
    <row r="4" spans="1:20" x14ac:dyDescent="0.15">
      <c r="A4" s="4" t="str">
        <f>"30-Day Retention"</f>
        <v>30-Day Retention</v>
      </c>
      <c r="B4" s="7">
        <f>INDEX('Data &amp; Targets'!$E$16:$E$27,MATCH('Data &amp; Targets'!$C$9,'Data &amp; Targets'!$B$16:$B$27,0))</f>
        <v>0.81100000000000005</v>
      </c>
      <c r="C4" s="7">
        <f>INDEX('Data &amp; Targets'!$L$16:$L$27,MATCH('Data &amp; Targets'!$C$9,'Data &amp; Targets'!$B$16:$B$27,0))</f>
        <v>0.8</v>
      </c>
      <c r="D4" s="7">
        <f>IF(MATCH('Data &amp; Targets'!$C$9,'Data &amp; Targets'!$B$16:$B$27,0)&lt;=1,"",INDEX('Data &amp; Targets'!$E$16:$E$27,MATCH('Data &amp; Targets'!$C$9,'Data &amp; Targets'!$B$16:$B$27,0)-1))</f>
        <v>0.80300000000000005</v>
      </c>
      <c r="E4" s="4" t="str">
        <f t="shared" si="0"/>
        <v>Higher</v>
      </c>
      <c r="F4" s="4" t="str">
        <f t="shared" si="1"/>
        <v>Favorable</v>
      </c>
      <c r="G4" s="4"/>
      <c r="H4" s="11" t="str">
        <f>TEXT('Data &amp; Targets'!B18,"mmm yyyy")</f>
        <v>Mar 2025</v>
      </c>
      <c r="I4" s="4">
        <f>'Data &amp; Targets'!C18</f>
        <v>16900</v>
      </c>
      <c r="J4" s="4">
        <f>'Data &amp; Targets'!J18</f>
        <v>17000</v>
      </c>
      <c r="K4" s="4"/>
      <c r="L4" s="11" t="str">
        <f>TEXT('Data &amp; Targets'!B18,"mmm yyyy")</f>
        <v>Mar 2025</v>
      </c>
      <c r="M4" s="4">
        <f>'Data &amp; Targets'!H18</f>
        <v>207800</v>
      </c>
      <c r="N4" s="4">
        <f>'Data &amp; Targets'!O18</f>
        <v>205000</v>
      </c>
      <c r="O4" s="4"/>
      <c r="P4" s="4" t="str">
        <f>"Signed Up"</f>
        <v>Signed Up</v>
      </c>
      <c r="Q4" s="6">
        <f>$B$2*'Data &amp; Targets'!$C$31*'Data &amp; Targets'!$C$32*'Data &amp; Targets'!$C$33</f>
        <v>16123.275</v>
      </c>
      <c r="R4" s="4"/>
      <c r="S4" s="4" t="str">
        <f>'Data &amp; Targets'!G32</f>
        <v>Midmarket</v>
      </c>
      <c r="T4" s="9">
        <f>$B$7*'Data &amp; Targets'!H32</f>
        <v>121110</v>
      </c>
    </row>
    <row r="5" spans="1:20" x14ac:dyDescent="0.15">
      <c r="A5" s="4" t="str">
        <f>"Trial-to-Paid Conversion"</f>
        <v>Trial-to-Paid Conversion</v>
      </c>
      <c r="B5" s="7">
        <f>INDEX('Data &amp; Targets'!$F$16:$F$27,MATCH('Data &amp; Targets'!$C$9,'Data &amp; Targets'!$B$16:$B$27,0))</f>
        <v>5.3999999999999999E-2</v>
      </c>
      <c r="C5" s="7">
        <f>INDEX('Data &amp; Targets'!$M$16:$M$27,MATCH('Data &amp; Targets'!$C$9,'Data &amp; Targets'!$B$16:$B$27,0))</f>
        <v>0.05</v>
      </c>
      <c r="D5" s="7">
        <f>IF(MATCH('Data &amp; Targets'!$C$9,'Data &amp; Targets'!$B$16:$B$27,0)&lt;=1,"",INDEX('Data &amp; Targets'!$F$16:$F$27,MATCH('Data &amp; Targets'!$C$9,'Data &amp; Targets'!$B$16:$B$27,0)-1))</f>
        <v>5.1999999999999998E-2</v>
      </c>
      <c r="E5" s="4" t="str">
        <f t="shared" si="0"/>
        <v>Higher</v>
      </c>
      <c r="F5" s="4" t="str">
        <f t="shared" si="1"/>
        <v>Favorable</v>
      </c>
      <c r="G5" s="4"/>
      <c r="H5" s="11" t="str">
        <f>TEXT('Data &amp; Targets'!B19,"mmm yyyy")</f>
        <v>Apr 2025</v>
      </c>
      <c r="I5" s="4">
        <f>'Data &amp; Targets'!C19</f>
        <v>18250</v>
      </c>
      <c r="J5" s="4">
        <f>'Data &amp; Targets'!J19</f>
        <v>18500</v>
      </c>
      <c r="K5" s="4"/>
      <c r="L5" s="11" t="str">
        <f>TEXT('Data &amp; Targets'!B19,"mmm yyyy")</f>
        <v>Apr 2025</v>
      </c>
      <c r="M5" s="4">
        <f>'Data &amp; Targets'!H19</f>
        <v>224400</v>
      </c>
      <c r="N5" s="4">
        <f>'Data &amp; Targets'!O19</f>
        <v>230000</v>
      </c>
      <c r="O5" s="4"/>
      <c r="P5" s="4" t="str">
        <f>"Signup Started"</f>
        <v>Signup Started</v>
      </c>
      <c r="Q5" s="6">
        <f>$B$2*'Data &amp; Targets'!$C$31*'Data &amp; Targets'!$C$32</f>
        <v>22837.5</v>
      </c>
      <c r="R5" s="4"/>
      <c r="S5" s="4" t="str">
        <f>'Data &amp; Targets'!G31</f>
        <v>Enterprise</v>
      </c>
      <c r="T5" s="9">
        <f>$B$7*'Data &amp; Targets'!H31</f>
        <v>181665</v>
      </c>
    </row>
    <row r="6" spans="1:20" x14ac:dyDescent="0.15">
      <c r="A6" s="4" t="str">
        <f>"Sessions / User"</f>
        <v>Sessions / User</v>
      </c>
      <c r="B6" s="8">
        <f>INDEX('Data &amp; Targets'!$G$16:$G$27,MATCH('Data &amp; Targets'!$C$9,'Data &amp; Targets'!$B$16:$B$27,0))</f>
        <v>6.2</v>
      </c>
      <c r="C6" s="8">
        <f>INDEX('Data &amp; Targets'!$N$16:$N$27,MATCH('Data &amp; Targets'!$C$9,'Data &amp; Targets'!$B$16:$B$27,0))</f>
        <v>6</v>
      </c>
      <c r="D6" s="8">
        <f>IF(MATCH('Data &amp; Targets'!$C$9,'Data &amp; Targets'!$B$16:$B$27,0)&lt;=1,"",INDEX('Data &amp; Targets'!$G$16:$G$27,MATCH('Data &amp; Targets'!$C$9,'Data &amp; Targets'!$B$16:$B$27,0)-1))</f>
        <v>6</v>
      </c>
      <c r="E6" s="4" t="str">
        <f t="shared" si="0"/>
        <v>Higher</v>
      </c>
      <c r="F6" s="4" t="str">
        <f t="shared" si="1"/>
        <v>Favorable</v>
      </c>
      <c r="G6" s="4"/>
      <c r="H6" s="11" t="str">
        <f>TEXT('Data &amp; Targets'!B20,"mmm yyyy")</f>
        <v>May 2025</v>
      </c>
      <c r="I6" s="4">
        <f>'Data &amp; Targets'!C20</f>
        <v>19700</v>
      </c>
      <c r="J6" s="4">
        <f>'Data &amp; Targets'!J20</f>
        <v>20000</v>
      </c>
      <c r="K6" s="4"/>
      <c r="L6" s="11" t="str">
        <f>TEXT('Data &amp; Targets'!B20,"mmm yyyy")</f>
        <v>May 2025</v>
      </c>
      <c r="M6" s="4">
        <f>'Data &amp; Targets'!H20</f>
        <v>241600</v>
      </c>
      <c r="N6" s="4">
        <f>'Data &amp; Targets'!O20</f>
        <v>245000</v>
      </c>
      <c r="O6" s="4"/>
      <c r="P6" s="4" t="str">
        <f>"Site Visitors"</f>
        <v>Site Visitors</v>
      </c>
      <c r="Q6" s="6">
        <f>$B$2*'Data &amp; Targets'!$C$31</f>
        <v>182700</v>
      </c>
      <c r="R6" s="4"/>
      <c r="S6" s="4"/>
      <c r="T6" s="4"/>
    </row>
    <row r="7" spans="1:20" x14ac:dyDescent="0.15">
      <c r="A7" s="4" t="str">
        <f>"Monthly Recurring Revenue"</f>
        <v>Monthly Recurring Revenue</v>
      </c>
      <c r="B7" s="9">
        <f>INDEX('Data &amp; Targets'!$H$16:$H$27,MATCH('Data &amp; Targets'!$C$9,'Data &amp; Targets'!$B$16:$B$27,0))</f>
        <v>403700</v>
      </c>
      <c r="C7" s="9">
        <f>INDEX('Data &amp; Targets'!$O$16:$O$27,MATCH('Data &amp; Targets'!$C$9,'Data &amp; Targets'!$B$16:$B$27,0))</f>
        <v>400000</v>
      </c>
      <c r="D7" s="9">
        <f>IF(MATCH('Data &amp; Targets'!$C$9,'Data &amp; Targets'!$B$16:$B$27,0)&lt;=1,"",INDEX('Data &amp; Targets'!$H$16:$H$27,MATCH('Data &amp; Targets'!$C$9,'Data &amp; Targets'!$B$16:$B$27,0)-1))</f>
        <v>376400</v>
      </c>
      <c r="E7" s="4" t="str">
        <f t="shared" si="0"/>
        <v>Higher</v>
      </c>
      <c r="F7" s="4" t="str">
        <f t="shared" si="1"/>
        <v>Favorable</v>
      </c>
      <c r="G7" s="4"/>
      <c r="H7" s="11" t="str">
        <f>TEXT('Data &amp; Targets'!B21,"mmm yyyy")</f>
        <v>Jun 2025</v>
      </c>
      <c r="I7" s="4">
        <f>'Data &amp; Targets'!C21</f>
        <v>21050</v>
      </c>
      <c r="J7" s="4">
        <f>'Data &amp; Targets'!J21</f>
        <v>21500</v>
      </c>
      <c r="K7" s="4"/>
      <c r="L7" s="11" t="str">
        <f>TEXT('Data &amp; Targets'!B21,"mmm yyyy")</f>
        <v>Jun 2025</v>
      </c>
      <c r="M7" s="4">
        <f>'Data &amp; Targets'!H21</f>
        <v>258900</v>
      </c>
      <c r="N7" s="4">
        <f>'Data &amp; Targets'!O21</f>
        <v>262000</v>
      </c>
      <c r="O7" s="4"/>
      <c r="P7" s="4"/>
      <c r="Q7" s="4"/>
      <c r="R7" s="4"/>
      <c r="S7" s="4"/>
      <c r="T7" s="4"/>
    </row>
    <row r="8" spans="1:20" x14ac:dyDescent="0.15">
      <c r="A8" s="4" t="str">
        <f>"Bounce Rate"</f>
        <v>Bounce Rate</v>
      </c>
      <c r="B8" s="7">
        <f>INDEX('Data &amp; Targets'!$I$16:$I$27,MATCH('Data &amp; Targets'!$C$9,'Data &amp; Targets'!$B$16:$B$27,0))</f>
        <v>0.34</v>
      </c>
      <c r="C8" s="7">
        <f>INDEX('Data &amp; Targets'!$P$16:$P$27,MATCH('Data &amp; Targets'!$C$9,'Data &amp; Targets'!$B$16:$B$27,0))</f>
        <v>0.36</v>
      </c>
      <c r="D8" s="7">
        <f>IF(MATCH('Data &amp; Targets'!$C$9,'Data &amp; Targets'!$B$16:$B$27,0)&lt;=1,"",INDEX('Data &amp; Targets'!$I$16:$I$27,MATCH('Data &amp; Targets'!$C$9,'Data &amp; Targets'!$B$16:$B$27,0)-1))</f>
        <v>0.35</v>
      </c>
      <c r="E8" s="4" t="str">
        <f>"Lower"</f>
        <v>Lower</v>
      </c>
      <c r="F8" s="4" t="str">
        <f t="shared" si="1"/>
        <v>Favorable</v>
      </c>
      <c r="G8" s="4"/>
      <c r="H8" s="11" t="str">
        <f>TEXT('Data &amp; Targets'!B22,"mmm yyyy")</f>
        <v>Jul 2025</v>
      </c>
      <c r="I8" s="4">
        <f>'Data &amp; Targets'!C22</f>
        <v>22800</v>
      </c>
      <c r="J8" s="4">
        <f>'Data &amp; Targets'!J22</f>
        <v>23000</v>
      </c>
      <c r="K8" s="4"/>
      <c r="L8" s="11" t="str">
        <f>TEXT('Data &amp; Targets'!B22,"mmm yyyy")</f>
        <v>Jul 2025</v>
      </c>
      <c r="M8" s="4">
        <f>'Data &amp; Targets'!H22</f>
        <v>281300</v>
      </c>
      <c r="N8" s="4">
        <f>'Data &amp; Targets'!O22</f>
        <v>285000</v>
      </c>
      <c r="O8" s="4"/>
      <c r="P8" s="4"/>
      <c r="Q8" s="4"/>
      <c r="R8" s="4"/>
      <c r="S8" s="4"/>
      <c r="T8" s="4"/>
    </row>
    <row r="9" spans="1:20" x14ac:dyDescent="0.15">
      <c r="A9" s="4" t="str">
        <f>"MRR / Active User"</f>
        <v>MRR / Active User</v>
      </c>
      <c r="B9" s="10">
        <f>INDEX('Data &amp; Targets'!$H$16:$H$27,MATCH('Data &amp; Targets'!$C$9,'Data &amp; Targets'!$B$16:$B$27,0))/INDEX('Data &amp; Targets'!$C$16:$C$27,MATCH('Data &amp; Targets'!$C$9,'Data &amp; Targets'!$B$16:$B$27,0))</f>
        <v>12.815873015873017</v>
      </c>
      <c r="C9" s="10">
        <f>INDEX('Data &amp; Targets'!$O$16:$O$27,MATCH('Data &amp; Targets'!$C$9,'Data &amp; Targets'!$B$16:$B$27,0))/INDEX('Data &amp; Targets'!$J$16:$J$27,MATCH('Data &amp; Targets'!$C$9,'Data &amp; Targets'!$B$16:$B$27,0))</f>
        <v>13.333333333333334</v>
      </c>
      <c r="D9" s="10">
        <f>IF(IF(MATCH('Data &amp; Targets'!$C$9,'Data &amp; Targets'!$B$16:$B$27,0)&lt;=1,"",INDEX('Data &amp; Targets'!$C$16:$C$27,MATCH('Data &amp; Targets'!$C$9,'Data &amp; Targets'!$B$16:$B$27,0)-1))="","",IF(MATCH('Data &amp; Targets'!$C$9,'Data &amp; Targets'!$B$16:$B$27,0)&lt;=1,"",INDEX('Data &amp; Targets'!$H$16:$H$27,MATCH('Data &amp; Targets'!$C$9,'Data &amp; Targets'!$B$16:$B$27,0)-1))/IF(MATCH('Data &amp; Targets'!$C$9,'Data &amp; Targets'!$B$16:$B$27,0)&lt;=1,"",INDEX('Data &amp; Targets'!$C$16:$C$27,MATCH('Data &amp; Targets'!$C$9,'Data &amp; Targets'!$B$16:$B$27,0)-1)))</f>
        <v>12.69477234401349</v>
      </c>
      <c r="E9" s="4" t="str">
        <f>"Higher"</f>
        <v>Higher</v>
      </c>
      <c r="F9" s="4" t="str">
        <f t="shared" si="1"/>
        <v>Watch</v>
      </c>
      <c r="G9" s="4"/>
      <c r="H9" s="11" t="str">
        <f>TEXT('Data &amp; Targets'!B23,"mmm yyyy")</f>
        <v>Aug 2025</v>
      </c>
      <c r="I9" s="4">
        <f>'Data &amp; Targets'!C23</f>
        <v>24400</v>
      </c>
      <c r="J9" s="4">
        <f>'Data &amp; Targets'!J23</f>
        <v>24500</v>
      </c>
      <c r="K9" s="4"/>
      <c r="L9" s="11" t="str">
        <f>TEXT('Data &amp; Targets'!B23,"mmm yyyy")</f>
        <v>Aug 2025</v>
      </c>
      <c r="M9" s="4">
        <f>'Data &amp; Targets'!H23</f>
        <v>303200</v>
      </c>
      <c r="N9" s="4">
        <f>'Data &amp; Targets'!O23</f>
        <v>300000</v>
      </c>
      <c r="O9" s="4"/>
      <c r="P9" s="4"/>
      <c r="Q9" s="4"/>
      <c r="R9" s="4"/>
      <c r="S9" s="4"/>
      <c r="T9" s="4"/>
    </row>
    <row r="10" spans="1:20" x14ac:dyDescent="0.15">
      <c r="A10" s="4"/>
      <c r="B10" s="4"/>
      <c r="C10" s="4"/>
      <c r="D10" s="4"/>
      <c r="E10" s="4"/>
      <c r="F10" s="4"/>
      <c r="G10" s="4"/>
      <c r="H10" s="11" t="str">
        <f>TEXT('Data &amp; Targets'!B24,"mmm yyyy")</f>
        <v>Sep 2025</v>
      </c>
      <c r="I10" s="4">
        <f>'Data &amp; Targets'!C24</f>
        <v>26150</v>
      </c>
      <c r="J10" s="4">
        <f>'Data &amp; Targets'!J24</f>
        <v>26000</v>
      </c>
      <c r="K10" s="4"/>
      <c r="L10" s="11" t="str">
        <f>TEXT('Data &amp; Targets'!B24,"mmm yyyy")</f>
        <v>Sep 2025</v>
      </c>
      <c r="M10" s="4">
        <f>'Data &amp; Targets'!H24</f>
        <v>328500</v>
      </c>
      <c r="N10" s="4">
        <f>'Data &amp; Targets'!O24</f>
        <v>330000</v>
      </c>
      <c r="O10" s="4"/>
      <c r="P10" s="4"/>
      <c r="Q10" s="4"/>
      <c r="R10" s="4"/>
      <c r="S10" s="4"/>
      <c r="T10" s="4"/>
    </row>
    <row r="11" spans="1:20" x14ac:dyDescent="0.15">
      <c r="A11" s="4"/>
      <c r="B11" s="4"/>
      <c r="C11" s="4"/>
      <c r="D11" s="4"/>
      <c r="E11" s="4"/>
      <c r="F11" s="4"/>
      <c r="G11" s="4"/>
      <c r="H11" s="11" t="str">
        <f>TEXT('Data &amp; Targets'!B25,"mmm yyyy")</f>
        <v>Oct 2025</v>
      </c>
      <c r="I11" s="4">
        <f>'Data &amp; Targets'!C25</f>
        <v>27900</v>
      </c>
      <c r="J11" s="4">
        <f>'Data &amp; Targets'!J25</f>
        <v>28000</v>
      </c>
      <c r="K11" s="4"/>
      <c r="L11" s="11" t="str">
        <f>TEXT('Data &amp; Targets'!B25,"mmm yyyy")</f>
        <v>Oct 2025</v>
      </c>
      <c r="M11" s="4">
        <f>'Data &amp; Targets'!H25</f>
        <v>351800</v>
      </c>
      <c r="N11" s="4">
        <f>'Data &amp; Targets'!O25</f>
        <v>355000</v>
      </c>
      <c r="O11" s="4"/>
      <c r="P11" s="4"/>
      <c r="Q11" s="4"/>
      <c r="R11" s="4"/>
      <c r="S11" s="4"/>
      <c r="T11" s="4"/>
    </row>
    <row r="12" spans="1:20" x14ac:dyDescent="0.15">
      <c r="A12" s="4"/>
      <c r="B12" s="4"/>
      <c r="C12" s="4"/>
      <c r="D12" s="4"/>
      <c r="E12" s="4"/>
      <c r="F12" s="4"/>
      <c r="G12" s="4"/>
      <c r="H12" s="11" t="str">
        <f>TEXT('Data &amp; Targets'!B26,"mmm yyyy")</f>
        <v>Nov 2025</v>
      </c>
      <c r="I12" s="4">
        <f>'Data &amp; Targets'!C26</f>
        <v>29650</v>
      </c>
      <c r="J12" s="4">
        <f>'Data &amp; Targets'!J26</f>
        <v>29500</v>
      </c>
      <c r="K12" s="4"/>
      <c r="L12" s="11" t="str">
        <f>TEXT('Data &amp; Targets'!B26,"mmm yyyy")</f>
        <v>Nov 2025</v>
      </c>
      <c r="M12" s="4">
        <f>'Data &amp; Targets'!H26</f>
        <v>376400</v>
      </c>
      <c r="N12" s="4">
        <f>'Data &amp; Targets'!O26</f>
        <v>380000</v>
      </c>
      <c r="O12" s="4"/>
      <c r="P12" s="4"/>
      <c r="Q12" s="4"/>
      <c r="R12" s="4"/>
      <c r="S12" s="4"/>
      <c r="T12" s="4"/>
    </row>
    <row r="13" spans="1:20" x14ac:dyDescent="0.15">
      <c r="A13" s="4"/>
      <c r="B13" s="4"/>
      <c r="C13" s="4"/>
      <c r="D13" s="4"/>
      <c r="E13" s="4"/>
      <c r="F13" s="4"/>
      <c r="G13" s="4"/>
      <c r="H13" s="11" t="str">
        <f>TEXT('Data &amp; Targets'!B27,"mmm yyyy")</f>
        <v>Dec 2025</v>
      </c>
      <c r="I13" s="4">
        <f>'Data &amp; Targets'!C27</f>
        <v>31500</v>
      </c>
      <c r="J13" s="4">
        <f>'Data &amp; Targets'!J27</f>
        <v>30000</v>
      </c>
      <c r="K13" s="4"/>
      <c r="L13" s="11" t="str">
        <f>TEXT('Data &amp; Targets'!B27,"mmm yyyy")</f>
        <v>Dec 2025</v>
      </c>
      <c r="M13" s="4">
        <f>'Data &amp; Targets'!H27</f>
        <v>403700</v>
      </c>
      <c r="N13" s="4">
        <f>'Data &amp; Targets'!O27</f>
        <v>400000</v>
      </c>
      <c r="O13" s="4"/>
      <c r="P13" s="4"/>
      <c r="Q13" s="4"/>
      <c r="R13" s="4"/>
      <c r="S13" s="4"/>
      <c r="T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Data &amp; Targets</vt:lpstr>
      <vt:lpstr>_Chart Helpers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